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1"/>
  <c r="J32"/>
  <c r="J27"/>
  <c r="J24"/>
  <c r="J30"/>
  <c r="J28"/>
  <c r="O4"/>
  <c r="P11" i="14"/>
  <c r="I29" i="48"/>
  <c r="I31"/>
  <c r="I26"/>
  <c r="I32"/>
  <c r="I25"/>
  <c r="I27"/>
  <c r="I22"/>
  <c r="I30"/>
  <c r="I28"/>
  <c r="I24"/>
  <c r="E32"/>
  <c r="E28"/>
  <c r="E29"/>
  <c r="E30"/>
  <c r="E31"/>
  <c r="E24"/>
  <c r="M32"/>
  <c r="M29"/>
  <c r="M25"/>
  <c r="M26"/>
  <c r="M30"/>
  <c r="M24"/>
  <c r="M22"/>
  <c r="M23"/>
  <c r="L10" i="14"/>
  <c r="L16" s="1"/>
  <c r="L27" s="1"/>
  <c r="K5" i="48"/>
  <c r="D30"/>
  <c r="D28"/>
  <c r="D29"/>
  <c r="D31"/>
  <c r="D24"/>
  <c r="D32"/>
  <c r="L28"/>
  <c r="L29"/>
  <c r="L32"/>
  <c r="L30"/>
  <c r="L27"/>
  <c r="L31"/>
  <c r="L24"/>
  <c r="L22"/>
  <c r="P5"/>
  <c r="P23" s="1"/>
  <c r="Q10" i="14"/>
  <c r="K32" i="48"/>
  <c r="K28"/>
  <c r="K26"/>
  <c r="K22"/>
  <c r="K25"/>
  <c r="K31"/>
  <c r="K30"/>
  <c r="K29"/>
  <c r="K24"/>
  <c r="K27"/>
  <c r="C24" i="14"/>
  <c r="C26" s="1"/>
  <c r="B7" i="48"/>
  <c r="J15" i="16"/>
  <c r="P4" i="48"/>
  <c r="Q11" i="14"/>
  <c r="E11"/>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D9" i="48"/>
  <c r="D27" s="1"/>
  <c r="E20" i="14"/>
  <c r="E22" s="1"/>
  <c r="B9" i="48"/>
  <c r="C20" i="14"/>
  <c r="O5" i="48"/>
  <c r="O23" s="1"/>
  <c r="P10" i="14"/>
  <c r="F4" i="48"/>
  <c r="F22" s="1"/>
  <c r="G11" i="14"/>
  <c r="K24"/>
  <c r="K26" s="1"/>
  <c r="J7" i="48"/>
  <c r="J25" s="1"/>
  <c r="M12" i="22"/>
  <c r="N18" i="14"/>
  <c r="M13" i="48"/>
  <c r="M31" s="1"/>
  <c r="H18" i="14"/>
  <c r="G13" i="48"/>
  <c r="H13"/>
  <c r="H31" s="1"/>
  <c r="I18" i="14"/>
  <c r="P15" i="48"/>
  <c r="P22"/>
  <c r="P33" s="1"/>
  <c r="K15"/>
  <c r="K23"/>
  <c r="K33" s="1"/>
  <c r="L46" i="14"/>
  <c r="L61" s="1"/>
  <c r="L63"/>
  <c r="Q16"/>
  <c r="Q27" s="1"/>
  <c r="J10"/>
  <c r="J16" s="1"/>
  <c r="J27" s="1"/>
  <c r="I5" i="48"/>
  <c r="O22"/>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E27" i="48"/>
  <c r="H20" i="14"/>
  <c r="H22" s="1"/>
  <c r="H27" s="1"/>
  <c r="G9" i="48"/>
  <c r="O8"/>
  <c r="O26" s="1"/>
  <c r="O33" s="1"/>
  <c r="P13" i="14"/>
  <c r="P16" s="1"/>
  <c r="P27" s="1"/>
  <c r="M10" i="48"/>
  <c r="M28" s="1"/>
  <c r="N19" i="14"/>
  <c r="E7" i="48"/>
  <c r="E25" s="1"/>
  <c r="F24" i="14"/>
  <c r="F26" s="1"/>
  <c r="G31" i="48"/>
  <c r="Q13"/>
  <c r="H19" i="14"/>
  <c r="R19" s="1"/>
  <c r="G10" i="48"/>
  <c r="I23"/>
  <c r="I33" s="1"/>
  <c r="I15"/>
  <c r="K11" i="14"/>
  <c r="J4" i="48"/>
  <c r="N22" i="14"/>
  <c r="N27" s="1"/>
  <c r="R18"/>
  <c r="Q46"/>
  <c r="Q61" s="1"/>
  <c r="Q63" s="1"/>
  <c r="C22"/>
  <c r="J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G27" i="48" l="1"/>
  <c r="G33" s="1"/>
  <c r="G15"/>
  <c r="I20" i="14"/>
  <c r="I22" s="1"/>
  <c r="I27" s="1"/>
  <c r="H9" i="48"/>
  <c r="E20" i="15"/>
  <c r="F40" i="14" s="1"/>
  <c r="E5" i="48"/>
  <c r="E23" s="1"/>
  <c r="F10" i="14"/>
  <c r="G28" i="48"/>
  <c r="Q10"/>
  <c r="E22"/>
  <c r="Q4"/>
  <c r="M27"/>
  <c r="M33" s="1"/>
  <c r="M15"/>
  <c r="K10" i="14"/>
  <c r="J5" i="48"/>
  <c r="J23" s="1"/>
  <c r="J22"/>
  <c r="N63" i="14"/>
  <c r="R11"/>
  <c r="O15" i="48"/>
  <c r="Q9"/>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H27" i="48"/>
  <c r="H33" s="1"/>
  <c r="H15"/>
  <c r="J22" i="16"/>
  <c r="K43" i="14" s="1"/>
  <c r="K46" s="1"/>
  <c r="K61" s="1"/>
  <c r="K13"/>
  <c r="J8" i="48"/>
  <c r="R20" i="14"/>
  <c r="R22" s="1"/>
  <c r="F46"/>
  <c r="F61" s="1"/>
  <c r="E22" i="16"/>
  <c r="F43" i="14" s="1"/>
  <c r="K16"/>
  <c r="K27"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<sst xmlns="http://schemas.openxmlformats.org/spreadsheetml/2006/main" count="2468" uniqueCount="931">
  <si>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</si>
  <si>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</si>
  <si>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</si>
  <si>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</si>
  <si>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</si>
  <si>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</si>
  <si>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</si>
  <si>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</si>
  <si>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</si>
  <si>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</si>
  <si>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</si>
  <si>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</si>
  <si>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</si>
  <si>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</si>
  <si>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</si>
  <si>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</si>
  <si>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</si>
  <si>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</si>
  <si>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</si>
  <si>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</si>
  <si>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</si>
  <si>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</si>
  <si>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</si>
  <si>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</si>
  <si>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</si>
  <si>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</si>
  <si>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</si>
  <si>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</si>
  <si>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</si>
  <si>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</si>
  <si>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</si>
  <si>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</si>
  <si>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</si>
  <si>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</si>
  <si>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</si>
  <si>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</si>
  <si>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</si>
  <si>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</si>
  <si>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</si>
  <si>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</si>
  <si>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</si>
  <si>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</si>
  <si>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</si>
  <si>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</si>
  <si>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</si>
  <si>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</si>
  <si>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</si>
  <si>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</si>
  <si>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</si>
  <si>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</si>
  <si>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</si>
  <si>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</si>
  <si>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</si>
  <si>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</si>
  <si>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</si>
  <si>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</si>
  <si>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</si>
  <si>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</si>
  <si>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</si>
  <si>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</si>
  <si>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</si>
  <si>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</si>
  <si>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</si>
  <si>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</si>
  <si>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</si>
  <si>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</si>
  <si>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</si>
  <si>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</si>
  <si>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</si>
  <si>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</si>
  <si>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</si>
  <si>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</si>
  <si>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</si>
  <si>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</si>
  <si>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</si>
  <si>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</si>
  <si>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</si>
  <si>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</si>
  <si>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</si>
  <si>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</si>
  <si>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</si>
  <si>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</si>
  <si>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</si>
  <si>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</si>
  <si>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</si>
  <si>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</si>
  <si>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</si>
  <si>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</si>
  <si>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</si>
  <si>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</si>
  <si>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</si>
  <si>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</si>
  <si>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</si>
  <si>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</si>
  <si>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</si>
  <si>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</si>
  <si>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</si>
  <si>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</si>
  <si>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</si>
  <si>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</si>
  <si>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</si>
  <si>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</si>
  <si>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</si>
  <si>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</si>
  <si>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</si>
  <si>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</si>
  <si>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</si>
  <si>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</si>
  <si>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</si>
  <si>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</si>
  <si>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</si>
  <si>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</si>
  <si>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</si>
  <si>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</si>
  <si>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</si>
  <si>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</si>
  <si>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</si>
  <si>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</si>
  <si>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</si>
  <si>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</si>
  <si>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</si>
  <si>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</si>
  <si>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</si>
  <si>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</si>
  <si>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</si>
  <si>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</si>
  <si>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</si>
  <si>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</si>
  <si>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</si>
  <si>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</si>
  <si>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</si>
  <si>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</si>
  <si>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</si>
  <si>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</si>
  <si>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</si>
  <si>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</si>
  <si>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</si>
  <si>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</si>
  <si>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</si>
  <si>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</si>
  <si>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</si>
  <si>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</si>
  <si>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</si>
  <si>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</si>
  <si>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</si>
  <si>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</si>
  <si>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</si>
  <si>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</si>
  <si>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</si>
  <si>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</si>
  <si>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</si>
  <si>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</si>
  <si>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</si>
  <si>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</si>
  <si>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</si>
  <si>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</si>
  <si>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</si>
  <si>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</si>
  <si>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</si>
  <si>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</si>
  <si>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</si>
  <si>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</si>
  <si>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</si>
  <si>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</si>
  <si>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</si>
  <si>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</si>
  <si>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</si>
  <si>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</si>
  <si>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</si>
  <si>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</si>
  <si>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</si>
  <si>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</si>
  <si>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</si>
  <si>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</si>
  <si>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</si>
  <si>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</si>
  <si>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</si>
  <si>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</si>
  <si>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</si>
  <si>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</si>
  <si>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</si>
  <si>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</si>
  <si>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</si>
  <si>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</si>
  <si>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</si>
  <si>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</si>
  <si>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</si>
  <si>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</si>
  <si>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</si>
  <si>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</si>
  <si>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</si>
  <si>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</si>
  <si>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</si>
  <si>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</si>
  <si>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</si>
  <si>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</si>
  <si>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</si>
  <si>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</si>
  <si>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</si>
  <si>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</si>
  <si>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</si>
  <si>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</si>
  <si>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</si>
  <si>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</si>
  <si>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</si>
  <si>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</si>
  <si>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</si>
  <si>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</si>
  <si>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</si>
  <si>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</si>
  <si>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</si>
  <si>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</si>
  <si>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</si>
  <si>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</si>
  <si>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</si>
  <si>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</si>
  <si>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</si>
  <si>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</si>
  <si>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</si>
  <si>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</si>
  <si>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</si>
  <si>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</si>
  <si>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</si>
  <si>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</si>
  <si>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</si>
  <si>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</si>
  <si>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</si>
  <si>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</si>
  <si>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</si>
  <si>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</si>
  <si>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</si>
  <si>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</si>
  <si>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</si>
  <si>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</si>
  <si>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</si>
  <si>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</si>
  <si>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</si>
  <si>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</si>
  <si>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</si>
  <si>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</si>
  <si>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</si>
  <si>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</si>
  <si>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</si>
  <si>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</si>
  <si>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</si>
  <si>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</si>
  <si>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</si>
  <si>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</si>
  <si>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</si>
  <si>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</si>
  <si>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</si>
  <si>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</si>
  <si>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</si>
  <si>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</si>
  <si>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</si>
  <si>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</si>
  <si>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</si>
  <si>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</si>
  <si>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</si>
  <si>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</si>
  <si>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</si>
  <si>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</si>
  <si>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</si>
  <si>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</si>
  <si>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</si>
  <si>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</si>
  <si>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</si>
  <si>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</si>
  <si>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</si>
  <si>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</si>
  <si>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</si>
  <si>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</si>
  <si>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</si>
  <si>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</si>
  <si>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</si>
  <si>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</si>
  <si>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</si>
  <si>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</si>
  <si>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</si>
  <si>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</si>
  <si>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</si>
  <si>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</si>
  <si>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</si>
  <si>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</si>
  <si>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</si>
  <si>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</si>
  <si>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</si>
  <si>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</si>
  <si>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</si>
  <si>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</si>
  <si>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</si>
  <si>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</si>
  <si>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</si>
  <si>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</si>
  <si>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</si>
  <si>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</si>
  <si>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</si>
  <si>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</si>
  <si>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</si>
  <si>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</si>
  <si>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</si>
  <si>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</si>
  <si>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</si>
  <si>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</si>
  <si>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</si>
  <si>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</si>
  <si>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</si>
  <si>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</si>
  <si>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</si>
  <si>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</si>
  <si>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</si>
  <si>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</si>
  <si>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</si>
  <si>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</si>
  <si>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</si>
  <si>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</si>
  <si>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</si>
  <si>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</si>
  <si>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</si>
  <si>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</si>
  <si>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</si>
  <si>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</si>
  <si>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</si>
  <si>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</si>
  <si>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</si>
  <si>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</si>
  <si>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</si>
  <si>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</si>
  <si>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</si>
  <si>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</si>
  <si>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</si>
  <si>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</si>
  <si>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</si>
  <si>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</si>
  <si>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</si>
  <si>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</si>
  <si>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</si>
  <si>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</si>
  <si>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</si>
  <si>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</si>
  <si>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</si>
  <si>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</si>
  <si>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</si>
  <si>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</si>
  <si>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</si>
  <si>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</si>
  <si>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</si>
  <si>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</si>
  <si>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</si>
  <si>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</si>
  <si>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</si>
  <si>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</si>
  <si>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</si>
  <si>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</si>
  <si>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</si>
  <si>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</si>
  <si>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</si>
  <si>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</si>
  <si>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</si>
  <si>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</si>
  <si>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</si>
  <si>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</si>
  <si>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</si>
  <si>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</si>
  <si>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</si>
  <si>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</si>
  <si>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</si>
  <si>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</si>
  <si>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</si>
  <si>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</si>
  <si>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</si>
  <si>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</si>
  <si>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</si>
  <si>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</si>
  <si>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</si>
  <si>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</si>
  <si>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</si>
  <si>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</si>
  <si>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</si>
  <si>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</si>
  <si>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</si>
  <si>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</si>
  <si>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</si>
  <si>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</si>
  <si>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</si>
  <si>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</si>
  <si>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</si>
  <si>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</si>
  <si>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</si>
  <si>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</si>
  <si>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</si>
  <si>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</si>
  <si>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</si>
  <si>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</si>
  <si>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</si>
  <si>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</si>
  <si>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</si>
  <si>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</si>
  <si>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</si>
  <si>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</si>
  <si>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</si>
  <si>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</si>
  <si>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</si>
  <si>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</si>
  <si>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</si>
  <si>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</si>
  <si>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</si>
  <si>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</si>
  <si>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</si>
  <si>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</si>
  <si>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</si>
  <si>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</si>
  <si>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</si>
  <si>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</si>
  <si>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</si>
  <si>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</si>
  <si>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</si>
  <si>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</si>
  <si>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</si>
  <si>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</si>
  <si>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</si>
  <si>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</si>
  <si>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</si>
  <si>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</si>
  <si>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</si>
  <si>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</si>
  <si>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</si>
  <si>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</si>
  <si>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</si>
  <si>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</si>
  <si>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</si>
  <si>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</si>
  <si>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</si>
  <si>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</si>
  <si>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</si>
  <si>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</si>
  <si>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</si>
  <si>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</si>
  <si>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</si>
  <si>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</si>
  <si>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</si>
  <si>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</si>
  <si>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</si>
  <si>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</si>
  <si>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</si>
  <si>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</si>
  <si>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</si>
  <si>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</si>
  <si>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</si>
  <si>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</si>
  <si>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</si>
  <si>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</si>
  <si>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</si>
  <si>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</si>
  <si>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</si>
  <si>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</si>
  <si>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</si>
  <si>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</si>
  <si>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</si>
  <si>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</si>
  <si>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</si>
  <si>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</si>
  <si>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</si>
  <si>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</si>
  <si>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</si>
  <si>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</si>
  <si>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</si>
  <si>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</si>
  <si>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</si>
  <si>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</si>
  <si>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</si>
  <si>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</si>
  <si>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</si>
  <si>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</si>
  <si>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</si>
  <si>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</si>
  <si>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</si>
  <si>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</si>
  <si>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</si>
  <si>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</si>
  <si>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</si>
  <si>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</si>
  <si>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</si>
  <si>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</si>
  <si>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</si>
  <si>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</si>
  <si>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</si>
  <si>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</si>
  <si>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</si>
  <si>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</si>
  <si>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</si>
  <si>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</si>
  <si>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</si>
  <si>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</si>
  <si>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</si>
  <si>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</si>
  <si>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</si>
  <si>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</si>
  <si>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</si>
  <si>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</si>
  <si>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</si>
  <si>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</si>
  <si>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</si>
  <si>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</si>
  <si>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</si>
  <si>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</si>
  <si>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</si>
  <si>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</si>
  <si>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</si>
  <si>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</si>
  <si>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</si>
  <si>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</si>
  <si>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</si>
  <si>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</si>
  <si>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</si>
  <si>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</si>
  <si>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</si>
  <si>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</si>
  <si>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</si>
  <si>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</si>
  <si>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</si>
  <si>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</si>
  <si>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</si>
  <si>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</si>
  <si>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</si>
  <si>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</si>
  <si>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</si>
  <si>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</si>
  <si>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</si>
  <si>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</si>
  <si>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</si>
  <si>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</si>
  <si>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</si>
  <si>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</si>
  <si>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</si>
  <si>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</si>
  <si>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</si>
  <si>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</si>
  <si>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</si>
  <si>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</si>
  <si>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</si>
  <si>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</si>
  <si>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</si>
  <si>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</si>
  <si>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</si>
  <si>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</si>
  <si>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</si>
  <si>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</si>
  <si>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</si>
  <si>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</si>
  <si>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</si>
  <si>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</si>
  <si>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</si>
  <si>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</si>
  <si>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</si>
  <si>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</si>
  <si>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</si>
  <si>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</si>
  <si>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</si>
  <si>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</si>
  <si>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</si>
  <si>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</si>
  <si>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</si>
  <si>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</si>
  <si>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</si>
  <si>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</si>
  <si>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</si>
  <si>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</si>
  <si>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</si>
  <si>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</si>
  <si>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</si>
  <si>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</si>
  <si>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</si>
  <si>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</si>
  <si>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</si>
  <si>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</si>
  <si>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</si>
  <si>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</si>
  <si>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</si>
  <si>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</si>
  <si>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</si>
  <si>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</si>
  <si>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</si>
  <si>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</si>
  <si>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</si>
  <si>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</si>
  <si>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</si>
  <si>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</si>
  <si>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</si>
  <si>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</si>
  <si>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</si>
  <si>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</si>
  <si>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</si>
  <si>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</si>
  <si>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</si>
  <si>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</si>
  <si>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</si>
  <si>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</si>
  <si>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</si>
  <si>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</si>
  <si>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</si>
  <si>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</si>
  <si>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</si>
  <si>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</si>
  <si>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</si>
  <si>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</si>
  <si>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</si>
  <si>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</si>
  <si>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</si>
  <si>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</si>
  <si>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</si>
  <si>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</si>
  <si>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</si>
  <si>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</si>
  <si>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</si>
  <si>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</si>
  <si>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</si>
  <si>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</si>
  <si>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</si>
  <si>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</si>
  <si>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</si>
  <si>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</si>
  <si>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</si>
  <si>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</si>
  <si>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</si>
  <si>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</si>
  <si>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</si>
  <si>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</si>
  <si>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</si>
  <si>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</si>
  <si>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</si>
  <si>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</si>
  <si>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</si>
  <si>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</si>
  <si>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</si>
  <si>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</si>
  <si>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</si>
  <si>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</si>
  <si>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</si>
  <si>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</si>
  <si>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</si>
  <si>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</si>
  <si>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</si>
  <si>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</si>
  <si>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</si>
  <si>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</si>
  <si>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</si>
  <si>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</si>
  <si>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</si>
  <si>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</si>
  <si>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</si>
  <si>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</si>
  <si>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</si>
  <si>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</si>
  <si>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</si>
  <si>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</si>
  <si>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</si>
  <si>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</si>
  <si>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</si>
  <si>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</si>
  <si>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</si>
  <si>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</si>
  <si>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</si>
  <si>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</si>
  <si>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</si>
  <si>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</si>
  <si>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</si>
  <si>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</si>
  <si>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</si>
  <si>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</si>
  <si>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</si>
  <si>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</si>
  <si>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</si>
  <si>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</si>
  <si>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</si>
  <si>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</si>
  <si>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</si>
  <si>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</si>
  <si>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</si>
  <si>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</si>
  <si>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</si>
  <si>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</si>
  <si>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</si>
  <si>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</si>
  <si>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</si>
  <si>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</si>
  <si>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</si>
  <si>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</si>
  <si>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</si>
  <si>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</si>
  <si>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</si>
  <si>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</si>
  <si>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</si>
  <si>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</si>
  <si>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</si>
  <si>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</si>
  <si>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</si>
  <si>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</si>
  <si>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</si>
  <si>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</si>
  <si>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</si>
  <si>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</si>
  <si>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</si>
  <si>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</si>
  <si>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</si>
  <si>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</si>
  <si>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</si>
  <si>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</si>
  <si>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</si>
  <si>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</si>
  <si>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</si>
  <si>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</si>
  <si>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</si>
  <si>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</si>
  <si>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</si>
  <si>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</si>
  <si>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</si>
  <si>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</si>
  <si>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</si>
  <si>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</si>
  <si>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</si>
  <si>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</si>
  <si>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</si>
  <si>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</si>
  <si>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</si>
  <si>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</si>
  <si>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</si>
  <si>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</si>
  <si>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</si>
  <si>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</si>
  <si>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</si>
  <si>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</si>
  <si>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</si>
  <si>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</si>
  <si>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</si>
  <si>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</si>
  <si>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</si>
  <si>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</si>
  <si>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</si>
  <si>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</si>
  <si>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</si>
  <si>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</si>
  <si>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</si>
  <si>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</si>
  <si>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</si>
  <si>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</si>
  <si>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</si>
  <si>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</si>
  <si>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</si>
  <si>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</si>
  <si>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</si>
  <si>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</si>
  <si>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</si>
  <si>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</si>
  <si>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</si>
  <si>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</si>
  <si>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</si>
  <si>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</si>
  <si>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</si>
  <si>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</si>
  <si>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</si>
  <si>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</si>
  <si>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</si>
  <si>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</si>
  <si>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</si>
  <si>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</si>
  <si>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</si>
  <si>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</si>
  <si>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</si>
  <si>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</si>
  <si>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</si>
  <si>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</si>
  <si>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</si>
  <si>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</si>
  <si>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</si>
  <si>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</si>
  <si>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</si>
  <si>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</si>
  <si>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</si>
  <si>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</si>
  <si>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</si>
  <si>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</si>
  <si>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</si>
  <si>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</si>
  <si>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</si>
  <si>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</si>
  <si>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</si>
  <si>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</si>
  <si>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</si>
  <si>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</si>
  <si>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</si>
  <si>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</si>
  <si>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</si>
  <si>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</si>
  <si>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</si>
  <si>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</si>
  <si>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</si>
  <si>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</si>
  <si>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</si>
  <si>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</si>
  <si>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</si>
  <si>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</si>
  <si>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</si>
  <si>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</si>
  <si>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</si>
  <si>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</si>
  <si>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</si>
  <si>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</si>
  <si>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</si>
  <si>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</si>
  <si>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</si>
  <si>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</si>
  <si>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</si>
  <si>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</si>
  <si>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</si>
  <si>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</si>
  <si>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</si>
  <si>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</si>
  <si>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</si>
  <si>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</si>
  <si>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</si>
  <si>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</si>
  <si>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</si>
  <si>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</si>
  <si>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</si>
  <si>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</si>
  <si>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</si>
  <si>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</si>
  <si>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</si>
  <si>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</si>
  <si>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</si>
  <si>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</si>
  <si>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</si>
  <si>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</si>
  <si>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</si>
  <si>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</si>
  <si>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</si>
  <si>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</si>
  <si>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</si>
  <si>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</si>
  <si>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</si>
  <si>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</si>
  <si>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</si>
  <si>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</si>
  <si>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</si>
  <si>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</si>
  <si>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</si>
  <si>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</si>
  <si>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</si>
  <si>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</si>
  <si>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</si>
  <si>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</si>
  <si>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</si>
  <si>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</si>
  <si>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</si>
  <si>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</si>
  <si>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</si>
  <si>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</si>
  <si>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</si>
  <si>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</si>
  <si>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</si>
  <si>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</si>
  <si>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</si>
  <si>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</si>
  <si>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</si>
  <si>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</si>
  <si>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</si>
  <si>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</si>
  <si>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</si>
  <si>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</si>
  <si>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</si>
  <si>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</si>
  <si>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</si>
  <si>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</si>
  <si>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</si>
  <si>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</si>
  <si>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</si>
  <si>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</si>
  <si>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</si>
  <si>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</si>
  <si>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</si>
  <si>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</si>
  <si>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</si>
  <si>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</si>
  <si>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</si>
  <si>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</si>
  <si>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</si>
  <si>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</si>
  <si>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</si>
  <si>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</si>
  <si>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</si>
  <si>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</si>
  <si>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</si>
  <si>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</si>
  <si>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</si>
  <si>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</si>
  <si>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</si>
  <si>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</si>
  <si>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</si>
  <si>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</si>
  <si>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</si>
  <si>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</si>
  <si>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</si>
  <si>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</si>
  <si>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</si>
  <si>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</si>
  <si>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44011</t>
  </si>
  <si>
    <t>DEINZE</t>
  </si>
  <si>
    <t>Cultuurgrond (ha)</t>
  </si>
  <si>
    <t>Paarden&amp;pony's 200 - 600 kg</t>
  </si>
  <si>
    <t>Paarden&amp;pony's &lt; 200 kg</t>
  </si>
  <si>
    <t>op basis van VEA (maart 2018) en Inventaris Hernieuwbare Energiebronnen (juni 2018)</t>
  </si>
  <si>
    <t>VEA (juni 2018)</t>
  </si>
  <si>
    <t>Patoma bvba</t>
  </si>
  <si>
    <t>Wierookstraat 2 , 9800 Deinze</t>
  </si>
  <si>
    <t>WKK-0184 Patoma</t>
  </si>
  <si>
    <t>interne verbrandingsmotor</t>
  </si>
  <si>
    <t>WKK interne verbrandinsgmotor (gas)</t>
  </si>
  <si>
    <t>GASELWEST</t>
  </si>
  <si>
    <t>Dominique Lambert</t>
  </si>
  <si>
    <t>Oostmeersdreef 36 , 9800 Deinze</t>
  </si>
  <si>
    <t>WKK-0354 Dominique Lambert</t>
  </si>
  <si>
    <t>stirlingmotor</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</si>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</sst>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249638.2977432785</c:v>
                </c:pt>
                <c:pt idx="1">
                  <c:v>118101.73875926323</c:v>
                </c:pt>
                <c:pt idx="2">
                  <c:v>2600.1410000000001</c:v>
                </c:pt>
                <c:pt idx="3">
                  <c:v>109818.66470975085</c:v>
                </c:pt>
                <c:pt idx="4">
                  <c:v>281990.20614483568</c:v>
                </c:pt>
                <c:pt idx="5">
                  <c:v>150330.94526927237</c:v>
                </c:pt>
                <c:pt idx="6">
                  <c:v>2179.7782371698358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249638.2977432785</c:v>
                </c:pt>
                <c:pt idx="1">
                  <c:v>118101.73875926323</c:v>
                </c:pt>
                <c:pt idx="2">
                  <c:v>2600.1410000000001</c:v>
                </c:pt>
                <c:pt idx="3">
                  <c:v>109818.66470975085</c:v>
                </c:pt>
                <c:pt idx="4">
                  <c:v>281990.20614483568</c:v>
                </c:pt>
                <c:pt idx="5">
                  <c:v>150330.94526927237</c:v>
                </c:pt>
                <c:pt idx="6">
                  <c:v>2179.7782371698358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47315.044311673562</c:v>
                </c:pt>
                <c:pt idx="2">
                  <c:v>23071.792704993593</c:v>
                </c:pt>
                <c:pt idx="3">
                  <c:v>484.93947083011489</c:v>
                </c:pt>
                <c:pt idx="4">
                  <c:v>17833.248323248197</c:v>
                </c:pt>
                <c:pt idx="5">
                  <c:v>56345.226667541006</c:v>
                </c:pt>
                <c:pt idx="6">
                  <c:v>37997.817878503796</c:v>
                </c:pt>
                <c:pt idx="7">
                  <c:v>557.21985926945342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47315.044311673562</c:v>
                </c:pt>
                <c:pt idx="2">
                  <c:v>23071.792704993593</c:v>
                </c:pt>
                <c:pt idx="3">
                  <c:v>484.93947083011489</c:v>
                </c:pt>
                <c:pt idx="4">
                  <c:v>17833.248323248197</c:v>
                </c:pt>
                <c:pt idx="5">
                  <c:v>56345.226667541006</c:v>
                </c:pt>
                <c:pt idx="6">
                  <c:v>37997.817878503796</c:v>
                </c:pt>
                <c:pt idx="7">
                  <c:v>557.21985926945342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44011</v>
      </c>
      <c r="B6" s="398"/>
      <c r="C6" s="399"/>
    </row>
    <row r="7" spans="1:7" s="396" customFormat="1" ht="15.75" customHeight="1">
      <c r="A7" s="400" t="str">
        <f>txtMunicipality</f>
        <v>DEINZE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50639.007619172356</v>
      </c>
      <c r="D10" s="690">
        <f ca="1">tertiair!C16</f>
        <v>22.5</v>
      </c>
      <c r="E10" s="690">
        <f ca="1">tertiair!D16</f>
        <v>56765.613236908808</v>
      </c>
      <c r="F10" s="690">
        <f>tertiair!E16</f>
        <v>622.11380776116596</v>
      </c>
      <c r="G10" s="690">
        <f ca="1">tertiair!F16</f>
        <v>9367.9406664777707</v>
      </c>
      <c r="H10" s="690">
        <f>tertiair!G16</f>
        <v>0</v>
      </c>
      <c r="I10" s="690">
        <f>tertiair!H16</f>
        <v>0</v>
      </c>
      <c r="J10" s="690">
        <f>tertiair!I16</f>
        <v>0</v>
      </c>
      <c r="K10" s="690">
        <f>tertiair!J16</f>
        <v>0</v>
      </c>
      <c r="L10" s="690">
        <f>tertiair!K16</f>
        <v>0</v>
      </c>
      <c r="M10" s="690">
        <f ca="1">tertiair!L16</f>
        <v>0</v>
      </c>
      <c r="N10" s="690">
        <f>tertiair!M16</f>
        <v>0</v>
      </c>
      <c r="O10" s="690">
        <f ca="1">tertiair!N16</f>
        <v>3208.4377622764541</v>
      </c>
      <c r="P10" s="690">
        <f>tertiair!O16</f>
        <v>0</v>
      </c>
      <c r="Q10" s="691">
        <f>tertiair!P16</f>
        <v>76.266666666666666</v>
      </c>
      <c r="R10" s="693">
        <f ca="1">SUM(C10:Q10)</f>
        <v>120701.87975926323</v>
      </c>
      <c r="S10" s="67"/>
    </row>
    <row r="11" spans="1:19" s="458" customFormat="1">
      <c r="A11" s="805" t="s">
        <v>225</v>
      </c>
      <c r="B11" s="810"/>
      <c r="C11" s="690">
        <f>huishoudens!B8</f>
        <v>58377.4206721714</v>
      </c>
      <c r="D11" s="690">
        <f>huishoudens!C8</f>
        <v>0</v>
      </c>
      <c r="E11" s="690">
        <f>huishoudens!D8</f>
        <v>99157.733760262476</v>
      </c>
      <c r="F11" s="690">
        <f>huishoudens!E8</f>
        <v>10914.744594854517</v>
      </c>
      <c r="G11" s="690">
        <f>huishoudens!F8</f>
        <v>50386.635717566285</v>
      </c>
      <c r="H11" s="690">
        <f>huishoudens!G8</f>
        <v>0</v>
      </c>
      <c r="I11" s="690">
        <f>huishoudens!H8</f>
        <v>0</v>
      </c>
      <c r="J11" s="690">
        <f>huishoudens!I8</f>
        <v>0</v>
      </c>
      <c r="K11" s="690">
        <f>huishoudens!J8</f>
        <v>1318.131615387189</v>
      </c>
      <c r="L11" s="690">
        <f>huishoudens!K8</f>
        <v>0</v>
      </c>
      <c r="M11" s="690">
        <f>huishoudens!L8</f>
        <v>0</v>
      </c>
      <c r="N11" s="690">
        <f>huishoudens!M8</f>
        <v>0</v>
      </c>
      <c r="O11" s="690">
        <f>huishoudens!N8</f>
        <v>28411.394716369974</v>
      </c>
      <c r="P11" s="690">
        <f>huishoudens!O8</f>
        <v>404.90333333333331</v>
      </c>
      <c r="Q11" s="691">
        <f>huishoudens!P8</f>
        <v>667.33333333333337</v>
      </c>
      <c r="R11" s="693">
        <f>SUM(C11:Q11)</f>
        <v>249638.2977432785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88471.032375110051</v>
      </c>
      <c r="D13" s="690">
        <f>industrie!C18</f>
        <v>0</v>
      </c>
      <c r="E13" s="690">
        <f>industrie!D18</f>
        <v>84537.643793547875</v>
      </c>
      <c r="F13" s="690">
        <f>industrie!E18</f>
        <v>8774.9017448113354</v>
      </c>
      <c r="G13" s="690">
        <f>industrie!F18</f>
        <v>77740.595984318439</v>
      </c>
      <c r="H13" s="690">
        <f>industrie!G18</f>
        <v>0</v>
      </c>
      <c r="I13" s="690">
        <f>industrie!H18</f>
        <v>0</v>
      </c>
      <c r="J13" s="690">
        <f>industrie!I18</f>
        <v>0</v>
      </c>
      <c r="K13" s="690">
        <f>industrie!J18</f>
        <v>55.607334921602579</v>
      </c>
      <c r="L13" s="690">
        <f>industrie!K18</f>
        <v>0</v>
      </c>
      <c r="M13" s="690">
        <f>industrie!L18</f>
        <v>0</v>
      </c>
      <c r="N13" s="690">
        <f>industrie!M18</f>
        <v>0</v>
      </c>
      <c r="O13" s="690">
        <f>industrie!N18</f>
        <v>22410.424912126364</v>
      </c>
      <c r="P13" s="690">
        <f>industrie!O18</f>
        <v>0</v>
      </c>
      <c r="Q13" s="691">
        <f>industrie!P18</f>
        <v>0</v>
      </c>
      <c r="R13" s="693">
        <f>SUM(C13:Q13)</f>
        <v>281990.20614483568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197487.46066645382</v>
      </c>
      <c r="D16" s="725">
        <f t="shared" ref="D16:R16" ca="1" si="0">SUM(D9:D15)</f>
        <v>22.5</v>
      </c>
      <c r="E16" s="725">
        <f t="shared" ca="1" si="0"/>
        <v>240460.99079071917</v>
      </c>
      <c r="F16" s="725">
        <f t="shared" si="0"/>
        <v>20311.76014742702</v>
      </c>
      <c r="G16" s="725">
        <f t="shared" ca="1" si="0"/>
        <v>137495.17236836249</v>
      </c>
      <c r="H16" s="725">
        <f t="shared" si="0"/>
        <v>0</v>
      </c>
      <c r="I16" s="725">
        <f t="shared" si="0"/>
        <v>0</v>
      </c>
      <c r="J16" s="725">
        <f t="shared" si="0"/>
        <v>0</v>
      </c>
      <c r="K16" s="725">
        <f t="shared" si="0"/>
        <v>1373.7389503087916</v>
      </c>
      <c r="L16" s="725">
        <f t="shared" si="0"/>
        <v>0</v>
      </c>
      <c r="M16" s="725">
        <f t="shared" ca="1" si="0"/>
        <v>0</v>
      </c>
      <c r="N16" s="725">
        <f t="shared" si="0"/>
        <v>0</v>
      </c>
      <c r="O16" s="725">
        <f t="shared" ca="1" si="0"/>
        <v>54030.257390772793</v>
      </c>
      <c r="P16" s="725">
        <f t="shared" si="0"/>
        <v>404.90333333333331</v>
      </c>
      <c r="Q16" s="725">
        <f t="shared" si="0"/>
        <v>743.6</v>
      </c>
      <c r="R16" s="725">
        <f t="shared" ca="1" si="0"/>
        <v>652330.38364737737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2086.9657650541326</v>
      </c>
      <c r="I19" s="690">
        <f>transport!H54</f>
        <v>0</v>
      </c>
      <c r="J19" s="690">
        <f>transport!I54</f>
        <v>0</v>
      </c>
      <c r="K19" s="690">
        <f>transport!J54</f>
        <v>0</v>
      </c>
      <c r="L19" s="690">
        <f>transport!K54</f>
        <v>0</v>
      </c>
      <c r="M19" s="690">
        <f>transport!L54</f>
        <v>0</v>
      </c>
      <c r="N19" s="690">
        <f>transport!M54</f>
        <v>92.812472115703144</v>
      </c>
      <c r="O19" s="690">
        <f>transport!N54</f>
        <v>0</v>
      </c>
      <c r="P19" s="690">
        <f>transport!O54</f>
        <v>0</v>
      </c>
      <c r="Q19" s="691">
        <f>transport!P54</f>
        <v>0</v>
      </c>
      <c r="R19" s="693">
        <f>SUM(C19:Q19)</f>
        <v>2179.7782371698358</v>
      </c>
      <c r="S19" s="67"/>
    </row>
    <row r="20" spans="1:19" s="458" customFormat="1">
      <c r="A20" s="805" t="s">
        <v>307</v>
      </c>
      <c r="B20" s="810"/>
      <c r="C20" s="690">
        <f>transport!B14</f>
        <v>8.8131031478601525</v>
      </c>
      <c r="D20" s="690">
        <f>transport!C14</f>
        <v>0</v>
      </c>
      <c r="E20" s="690">
        <f>transport!D14</f>
        <v>14.495473863516009</v>
      </c>
      <c r="F20" s="690">
        <f>transport!E14</f>
        <v>443.87188938758891</v>
      </c>
      <c r="G20" s="690">
        <f>transport!F14</f>
        <v>0</v>
      </c>
      <c r="H20" s="690">
        <f>transport!G14</f>
        <v>121685.79474987641</v>
      </c>
      <c r="I20" s="690">
        <f>transport!H14</f>
        <v>21696.30516981642</v>
      </c>
      <c r="J20" s="690">
        <f>transport!I14</f>
        <v>0</v>
      </c>
      <c r="K20" s="690">
        <f>transport!J14</f>
        <v>0</v>
      </c>
      <c r="L20" s="690">
        <f>transport!K14</f>
        <v>0</v>
      </c>
      <c r="M20" s="690">
        <f>transport!L14</f>
        <v>0</v>
      </c>
      <c r="N20" s="690">
        <f>transport!M14</f>
        <v>6481.6648831805796</v>
      </c>
      <c r="O20" s="690">
        <f>transport!N14</f>
        <v>0</v>
      </c>
      <c r="P20" s="690">
        <f>transport!O14</f>
        <v>0</v>
      </c>
      <c r="Q20" s="691">
        <f>transport!P14</f>
        <v>0</v>
      </c>
      <c r="R20" s="693">
        <f>SUM(C20:Q20)</f>
        <v>150330.94526927237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8.8131031478601525</v>
      </c>
      <c r="D22" s="808">
        <f t="shared" ref="D22:R22" si="1">SUM(D18:D21)</f>
        <v>0</v>
      </c>
      <c r="E22" s="808">
        <f t="shared" si="1"/>
        <v>14.495473863516009</v>
      </c>
      <c r="F22" s="808">
        <f t="shared" si="1"/>
        <v>443.87188938758891</v>
      </c>
      <c r="G22" s="808">
        <f t="shared" si="1"/>
        <v>0</v>
      </c>
      <c r="H22" s="808">
        <f t="shared" si="1"/>
        <v>123772.76051493055</v>
      </c>
      <c r="I22" s="808">
        <f t="shared" si="1"/>
        <v>21696.30516981642</v>
      </c>
      <c r="J22" s="808">
        <f t="shared" si="1"/>
        <v>0</v>
      </c>
      <c r="K22" s="808">
        <f t="shared" si="1"/>
        <v>0</v>
      </c>
      <c r="L22" s="808">
        <f t="shared" si="1"/>
        <v>0</v>
      </c>
      <c r="M22" s="808">
        <f t="shared" si="1"/>
        <v>0</v>
      </c>
      <c r="N22" s="808">
        <f t="shared" si="1"/>
        <v>6574.4773552962824</v>
      </c>
      <c r="O22" s="808">
        <f t="shared" si="1"/>
        <v>0</v>
      </c>
      <c r="P22" s="808">
        <f t="shared" si="1"/>
        <v>0</v>
      </c>
      <c r="Q22" s="808">
        <f t="shared" si="1"/>
        <v>0</v>
      </c>
      <c r="R22" s="808">
        <f t="shared" si="1"/>
        <v>152510.72350644221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4464.8861399216366</v>
      </c>
      <c r="D24" s="690">
        <f>+landbouw!C8</f>
        <v>89221.07142857142</v>
      </c>
      <c r="E24" s="690">
        <f>+landbouw!D8</f>
        <v>0</v>
      </c>
      <c r="F24" s="690">
        <f>+landbouw!E8</f>
        <v>56.263317305849171</v>
      </c>
      <c r="G24" s="690">
        <f>+landbouw!F8</f>
        <v>15404.975703542057</v>
      </c>
      <c r="H24" s="690">
        <f>+landbouw!G8</f>
        <v>0</v>
      </c>
      <c r="I24" s="690">
        <f>+landbouw!H8</f>
        <v>0</v>
      </c>
      <c r="J24" s="690">
        <f>+landbouw!I8</f>
        <v>0</v>
      </c>
      <c r="K24" s="690">
        <f>+landbouw!J8</f>
        <v>671.46812040988743</v>
      </c>
      <c r="L24" s="690">
        <f>+landbouw!K8</f>
        <v>0</v>
      </c>
      <c r="M24" s="690">
        <f>+landbouw!L8</f>
        <v>0</v>
      </c>
      <c r="N24" s="690">
        <f>+landbouw!M8</f>
        <v>0</v>
      </c>
      <c r="O24" s="690">
        <f>+landbouw!N8</f>
        <v>0</v>
      </c>
      <c r="P24" s="690">
        <f>+landbouw!O8</f>
        <v>0</v>
      </c>
      <c r="Q24" s="691">
        <f>+landbouw!P8</f>
        <v>0</v>
      </c>
      <c r="R24" s="693">
        <f>SUM(C24:Q24)</f>
        <v>109818.66470975085</v>
      </c>
      <c r="S24" s="67"/>
    </row>
    <row r="25" spans="1:19" s="458" customFormat="1" ht="15" thickBot="1">
      <c r="A25" s="827" t="s">
        <v>872</v>
      </c>
      <c r="B25" s="1004"/>
      <c r="C25" s="1005">
        <f>IF(Onbekend_ele_kWh="---",0,Onbekend_ele_kWh)/1000+IF(REST_rest_ele_kWh="---",0,REST_rest_ele_kWh)/1000</f>
        <v>2065.7848928242702</v>
      </c>
      <c r="D25" s="1005"/>
      <c r="E25" s="1005">
        <f>IF(onbekend_gas_kWh="---",0,onbekend_gas_kWh)/1000+IF(REST_rest_gas_kWh="---",0,REST_rest_gas_kWh)/1000</f>
        <v>4446.3151837247706</v>
      </c>
      <c r="F25" s="1005"/>
      <c r="G25" s="1005"/>
      <c r="H25" s="1005"/>
      <c r="I25" s="1005"/>
      <c r="J25" s="1005"/>
      <c r="K25" s="1005"/>
      <c r="L25" s="1005"/>
      <c r="M25" s="1005"/>
      <c r="N25" s="1005"/>
      <c r="O25" s="1005"/>
      <c r="P25" s="1005"/>
      <c r="Q25" s="1006"/>
      <c r="R25" s="693">
        <f>SUM(C25:Q25)</f>
        <v>6512.1000765490408</v>
      </c>
      <c r="S25" s="67"/>
    </row>
    <row r="26" spans="1:19" s="458" customFormat="1" ht="15.75" thickBot="1">
      <c r="A26" s="698" t="s">
        <v>873</v>
      </c>
      <c r="B26" s="813"/>
      <c r="C26" s="808">
        <f>SUM(C24:C25)</f>
        <v>6530.6710327459068</v>
      </c>
      <c r="D26" s="808">
        <f t="shared" ref="D26:R26" si="2">SUM(D24:D25)</f>
        <v>89221.07142857142</v>
      </c>
      <c r="E26" s="808">
        <f t="shared" si="2"/>
        <v>4446.3151837247706</v>
      </c>
      <c r="F26" s="808">
        <f t="shared" si="2"/>
        <v>56.263317305849171</v>
      </c>
      <c r="G26" s="808">
        <f t="shared" si="2"/>
        <v>15404.975703542057</v>
      </c>
      <c r="H26" s="808">
        <f t="shared" si="2"/>
        <v>0</v>
      </c>
      <c r="I26" s="808">
        <f t="shared" si="2"/>
        <v>0</v>
      </c>
      <c r="J26" s="808">
        <f t="shared" si="2"/>
        <v>0</v>
      </c>
      <c r="K26" s="808">
        <f t="shared" si="2"/>
        <v>671.46812040988743</v>
      </c>
      <c r="L26" s="808">
        <f t="shared" si="2"/>
        <v>0</v>
      </c>
      <c r="M26" s="808">
        <f t="shared" si="2"/>
        <v>0</v>
      </c>
      <c r="N26" s="808">
        <f t="shared" si="2"/>
        <v>0</v>
      </c>
      <c r="O26" s="808">
        <f t="shared" si="2"/>
        <v>0</v>
      </c>
      <c r="P26" s="808">
        <f t="shared" si="2"/>
        <v>0</v>
      </c>
      <c r="Q26" s="808">
        <f t="shared" si="2"/>
        <v>0</v>
      </c>
      <c r="R26" s="808">
        <f t="shared" si="2"/>
        <v>116330.7647862999</v>
      </c>
      <c r="S26" s="67"/>
    </row>
    <row r="27" spans="1:19" s="458" customFormat="1" ht="17.25" thickTop="1" thickBot="1">
      <c r="A27" s="699" t="s">
        <v>116</v>
      </c>
      <c r="B27" s="800"/>
      <c r="C27" s="700">
        <f ca="1">C22+C16+C26</f>
        <v>204026.9448023476</v>
      </c>
      <c r="D27" s="700">
        <f t="shared" ref="D27:R27" ca="1" si="3">D22+D16+D26</f>
        <v>89243.57142857142</v>
      </c>
      <c r="E27" s="700">
        <f t="shared" ca="1" si="3"/>
        <v>244921.80144830747</v>
      </c>
      <c r="F27" s="700">
        <f t="shared" si="3"/>
        <v>20811.895354120457</v>
      </c>
      <c r="G27" s="700">
        <f t="shared" ca="1" si="3"/>
        <v>152900.14807190455</v>
      </c>
      <c r="H27" s="700">
        <f t="shared" si="3"/>
        <v>123772.76051493055</v>
      </c>
      <c r="I27" s="700">
        <f t="shared" si="3"/>
        <v>21696.30516981642</v>
      </c>
      <c r="J27" s="700">
        <f t="shared" si="3"/>
        <v>0</v>
      </c>
      <c r="K27" s="700">
        <f t="shared" si="3"/>
        <v>2045.207070718679</v>
      </c>
      <c r="L27" s="700">
        <f t="shared" si="3"/>
        <v>0</v>
      </c>
      <c r="M27" s="700">
        <f t="shared" ca="1" si="3"/>
        <v>0</v>
      </c>
      <c r="N27" s="700">
        <f t="shared" si="3"/>
        <v>6574.4773552962824</v>
      </c>
      <c r="O27" s="700">
        <f t="shared" ca="1" si="3"/>
        <v>54030.257390772793</v>
      </c>
      <c r="P27" s="700">
        <f t="shared" si="3"/>
        <v>404.90333333333331</v>
      </c>
      <c r="Q27" s="700">
        <f t="shared" si="3"/>
        <v>743.6</v>
      </c>
      <c r="R27" s="700">
        <f t="shared" ca="1" si="3"/>
        <v>921171.87194011954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9444.4314974470999</v>
      </c>
      <c r="D40" s="690">
        <f ca="1">tertiair!C20</f>
        <v>3.1868122096796871</v>
      </c>
      <c r="E40" s="690">
        <f ca="1">tertiair!D20</f>
        <v>11466.653873855579</v>
      </c>
      <c r="F40" s="690">
        <f>tertiair!E20</f>
        <v>141.21983436178468</v>
      </c>
      <c r="G40" s="690">
        <f ca="1">tertiair!F20</f>
        <v>2501.2401579495649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23556.732175823709</v>
      </c>
    </row>
    <row r="41" spans="1:18">
      <c r="A41" s="818" t="s">
        <v>225</v>
      </c>
      <c r="B41" s="825"/>
      <c r="C41" s="690">
        <f ca="1">huishoudens!B12</f>
        <v>10887.684740631299</v>
      </c>
      <c r="D41" s="690">
        <f ca="1">huishoudens!C12</f>
        <v>0</v>
      </c>
      <c r="E41" s="690">
        <f>huishoudens!D12</f>
        <v>20029.86221957302</v>
      </c>
      <c r="F41" s="690">
        <f>huishoudens!E12</f>
        <v>2477.6470230319756</v>
      </c>
      <c r="G41" s="690">
        <f>huishoudens!F12</f>
        <v>13453.231736590198</v>
      </c>
      <c r="H41" s="690">
        <f>huishoudens!G12</f>
        <v>0</v>
      </c>
      <c r="I41" s="690">
        <f>huishoudens!H12</f>
        <v>0</v>
      </c>
      <c r="J41" s="690">
        <f>huishoudens!I12</f>
        <v>0</v>
      </c>
      <c r="K41" s="690">
        <f>huishoudens!J12</f>
        <v>466.61859184706486</v>
      </c>
      <c r="L41" s="690">
        <f>huishoudens!K12</f>
        <v>0</v>
      </c>
      <c r="M41" s="690">
        <f>huishoudens!L12</f>
        <v>0</v>
      </c>
      <c r="N41" s="690">
        <f>huishoudens!M12</f>
        <v>0</v>
      </c>
      <c r="O41" s="690">
        <f>huishoudens!N12</f>
        <v>0</v>
      </c>
      <c r="P41" s="690">
        <f>huishoudens!O12</f>
        <v>0</v>
      </c>
      <c r="Q41" s="767">
        <f>huishoudens!P12</f>
        <v>0</v>
      </c>
      <c r="R41" s="846">
        <f t="shared" ca="1" si="4"/>
        <v>47315.044311673562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16500.295800796892</v>
      </c>
      <c r="D43" s="690">
        <f ca="1">industrie!C22</f>
        <v>0</v>
      </c>
      <c r="E43" s="690">
        <f>industrie!D22</f>
        <v>17076.60404629667</v>
      </c>
      <c r="F43" s="690">
        <f>industrie!E22</f>
        <v>1991.9026960721733</v>
      </c>
      <c r="G43" s="690">
        <f>industrie!F22</f>
        <v>20756.739127813024</v>
      </c>
      <c r="H43" s="690">
        <f>industrie!G22</f>
        <v>0</v>
      </c>
      <c r="I43" s="690">
        <f>industrie!H22</f>
        <v>0</v>
      </c>
      <c r="J43" s="690">
        <f>industrie!I22</f>
        <v>0</v>
      </c>
      <c r="K43" s="690">
        <f>industrie!J22</f>
        <v>19.684996562247314</v>
      </c>
      <c r="L43" s="690">
        <f>industrie!K22</f>
        <v>0</v>
      </c>
      <c r="M43" s="690">
        <f>industrie!L22</f>
        <v>0</v>
      </c>
      <c r="N43" s="690">
        <f>industrie!M22</f>
        <v>0</v>
      </c>
      <c r="O43" s="690">
        <f>industrie!N22</f>
        <v>0</v>
      </c>
      <c r="P43" s="690">
        <f>industrie!O22</f>
        <v>0</v>
      </c>
      <c r="Q43" s="767">
        <f>industrie!P22</f>
        <v>0</v>
      </c>
      <c r="R43" s="845">
        <f t="shared" ca="1" si="4"/>
        <v>56345.226667541006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36832.412038875293</v>
      </c>
      <c r="D46" s="725">
        <f t="shared" ref="D46:Q46" ca="1" si="5">SUM(D39:D45)</f>
        <v>3.1868122096796871</v>
      </c>
      <c r="E46" s="725">
        <f t="shared" ca="1" si="5"/>
        <v>48573.120139725273</v>
      </c>
      <c r="F46" s="725">
        <f t="shared" si="5"/>
        <v>4610.7695534659333</v>
      </c>
      <c r="G46" s="725">
        <f t="shared" ca="1" si="5"/>
        <v>36711.211022352785</v>
      </c>
      <c r="H46" s="725">
        <f t="shared" si="5"/>
        <v>0</v>
      </c>
      <c r="I46" s="725">
        <f t="shared" si="5"/>
        <v>0</v>
      </c>
      <c r="J46" s="725">
        <f t="shared" si="5"/>
        <v>0</v>
      </c>
      <c r="K46" s="725">
        <f t="shared" si="5"/>
        <v>486.30358840931217</v>
      </c>
      <c r="L46" s="725">
        <f t="shared" si="5"/>
        <v>0</v>
      </c>
      <c r="M46" s="725">
        <f t="shared" ca="1" si="5"/>
        <v>0</v>
      </c>
      <c r="N46" s="725">
        <f t="shared" si="5"/>
        <v>0</v>
      </c>
      <c r="O46" s="725">
        <f t="shared" ca="1" si="5"/>
        <v>0</v>
      </c>
      <c r="P46" s="725">
        <f t="shared" si="5"/>
        <v>0</v>
      </c>
      <c r="Q46" s="725">
        <f t="shared" si="5"/>
        <v>0</v>
      </c>
      <c r="R46" s="725">
        <f ca="1">SUM(R39:R45)</f>
        <v>127217.00315503827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557.21985926945342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557.21985926945342</v>
      </c>
    </row>
    <row r="50" spans="1:18">
      <c r="A50" s="821" t="s">
        <v>307</v>
      </c>
      <c r="B50" s="831"/>
      <c r="C50" s="696">
        <f ca="1">transport!B18</f>
        <v>1.6436883910889917</v>
      </c>
      <c r="D50" s="696">
        <f>transport!C18</f>
        <v>0</v>
      </c>
      <c r="E50" s="696">
        <f>transport!D18</f>
        <v>2.928085720430234</v>
      </c>
      <c r="F50" s="696">
        <f>transport!E18</f>
        <v>100.75891889098268</v>
      </c>
      <c r="G50" s="696">
        <f>transport!F18</f>
        <v>0</v>
      </c>
      <c r="H50" s="696">
        <f>transport!G18</f>
        <v>32490.107198217003</v>
      </c>
      <c r="I50" s="696">
        <f>transport!H18</f>
        <v>5402.3799872842883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37997.817878503796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1.6436883910889917</v>
      </c>
      <c r="D52" s="725">
        <f t="shared" ref="D52:Q52" ca="1" si="6">SUM(D48:D51)</f>
        <v>0</v>
      </c>
      <c r="E52" s="725">
        <f t="shared" si="6"/>
        <v>2.928085720430234</v>
      </c>
      <c r="F52" s="725">
        <f t="shared" si="6"/>
        <v>100.75891889098268</v>
      </c>
      <c r="G52" s="725">
        <f t="shared" si="6"/>
        <v>0</v>
      </c>
      <c r="H52" s="725">
        <f t="shared" si="6"/>
        <v>33047.327057486458</v>
      </c>
      <c r="I52" s="725">
        <f t="shared" si="6"/>
        <v>5402.3799872842883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38555.037737773251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832.72388767005816</v>
      </c>
      <c r="D54" s="696">
        <f ca="1">+landbouw!C12</f>
        <v>12636.924435078883</v>
      </c>
      <c r="E54" s="696">
        <f>+landbouw!D12</f>
        <v>0</v>
      </c>
      <c r="F54" s="696">
        <f>+landbouw!E12</f>
        <v>12.771773028427763</v>
      </c>
      <c r="G54" s="696">
        <f>+landbouw!F12</f>
        <v>4113.1285128457293</v>
      </c>
      <c r="H54" s="696">
        <f>+landbouw!G12</f>
        <v>0</v>
      </c>
      <c r="I54" s="696">
        <f>+landbouw!H12</f>
        <v>0</v>
      </c>
      <c r="J54" s="696">
        <f>+landbouw!I12</f>
        <v>0</v>
      </c>
      <c r="K54" s="696">
        <f>+landbouw!J12</f>
        <v>237.69971462510014</v>
      </c>
      <c r="L54" s="696">
        <f>+landbouw!K12</f>
        <v>0</v>
      </c>
      <c r="M54" s="696">
        <f>+landbouw!L12</f>
        <v>0</v>
      </c>
      <c r="N54" s="696">
        <f>+landbouw!M12</f>
        <v>0</v>
      </c>
      <c r="O54" s="696">
        <f>+landbouw!N12</f>
        <v>0</v>
      </c>
      <c r="P54" s="696">
        <f>+landbouw!O12</f>
        <v>0</v>
      </c>
      <c r="Q54" s="697">
        <f>+landbouw!P12</f>
        <v>0</v>
      </c>
      <c r="R54" s="724">
        <f ca="1">SUM(C54:Q54)</f>
        <v>17833.248323248197</v>
      </c>
    </row>
    <row r="55" spans="1:18" ht="15" thickBot="1">
      <c r="A55" s="821" t="s">
        <v>872</v>
      </c>
      <c r="B55" s="831"/>
      <c r="C55" s="696">
        <f ca="1">C25*'EF ele_warmte'!B12</f>
        <v>385.27934937953256</v>
      </c>
      <c r="D55" s="696"/>
      <c r="E55" s="696">
        <f>E25*EF_CO2_aardgas</f>
        <v>898.15566711240376</v>
      </c>
      <c r="F55" s="696"/>
      <c r="G55" s="696"/>
      <c r="H55" s="696"/>
      <c r="I55" s="696"/>
      <c r="J55" s="696"/>
      <c r="K55" s="696"/>
      <c r="L55" s="696"/>
      <c r="M55" s="696"/>
      <c r="N55" s="696"/>
      <c r="O55" s="696"/>
      <c r="P55" s="696"/>
      <c r="Q55" s="697"/>
      <c r="R55" s="724">
        <f ca="1">SUM(C55:Q55)</f>
        <v>1283.4350164919363</v>
      </c>
    </row>
    <row r="56" spans="1:18" ht="15.75" thickBot="1">
      <c r="A56" s="819" t="s">
        <v>873</v>
      </c>
      <c r="B56" s="832"/>
      <c r="C56" s="725">
        <f ca="1">SUM(C54:C55)</f>
        <v>1218.0032370495908</v>
      </c>
      <c r="D56" s="725">
        <f t="shared" ref="D56:Q56" ca="1" si="7">SUM(D54:D55)</f>
        <v>12636.924435078883</v>
      </c>
      <c r="E56" s="725">
        <f t="shared" si="7"/>
        <v>898.15566711240376</v>
      </c>
      <c r="F56" s="725">
        <f t="shared" si="7"/>
        <v>12.771773028427763</v>
      </c>
      <c r="G56" s="725">
        <f t="shared" si="7"/>
        <v>4113.1285128457293</v>
      </c>
      <c r="H56" s="725">
        <f t="shared" si="7"/>
        <v>0</v>
      </c>
      <c r="I56" s="725">
        <f t="shared" si="7"/>
        <v>0</v>
      </c>
      <c r="J56" s="725">
        <f t="shared" si="7"/>
        <v>0</v>
      </c>
      <c r="K56" s="725">
        <f t="shared" si="7"/>
        <v>237.69971462510014</v>
      </c>
      <c r="L56" s="725">
        <f t="shared" si="7"/>
        <v>0</v>
      </c>
      <c r="M56" s="725">
        <f t="shared" si="7"/>
        <v>0</v>
      </c>
      <c r="N56" s="725">
        <f t="shared" si="7"/>
        <v>0</v>
      </c>
      <c r="O56" s="725">
        <f t="shared" si="7"/>
        <v>0</v>
      </c>
      <c r="P56" s="725">
        <f t="shared" si="7"/>
        <v>0</v>
      </c>
      <c r="Q56" s="726">
        <f t="shared" si="7"/>
        <v>0</v>
      </c>
      <c r="R56" s="727">
        <f ca="1">SUM(R54:R55)</f>
        <v>19116.683339740135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38052.058964315969</v>
      </c>
      <c r="D61" s="733">
        <f t="shared" ref="D61:Q61" ca="1" si="8">D46+D52+D56</f>
        <v>12640.111247288563</v>
      </c>
      <c r="E61" s="733">
        <f t="shared" ca="1" si="8"/>
        <v>49474.203892558107</v>
      </c>
      <c r="F61" s="733">
        <f t="shared" si="8"/>
        <v>4724.3002453853433</v>
      </c>
      <c r="G61" s="733">
        <f t="shared" ca="1" si="8"/>
        <v>40824.339535198516</v>
      </c>
      <c r="H61" s="733">
        <f t="shared" si="8"/>
        <v>33047.327057486458</v>
      </c>
      <c r="I61" s="733">
        <f t="shared" si="8"/>
        <v>5402.3799872842883</v>
      </c>
      <c r="J61" s="733">
        <f t="shared" si="8"/>
        <v>0</v>
      </c>
      <c r="K61" s="733">
        <f t="shared" si="8"/>
        <v>724.00330303441228</v>
      </c>
      <c r="L61" s="733">
        <f t="shared" si="8"/>
        <v>0</v>
      </c>
      <c r="M61" s="733">
        <f t="shared" ca="1" si="8"/>
        <v>0</v>
      </c>
      <c r="N61" s="733">
        <f t="shared" si="8"/>
        <v>0</v>
      </c>
      <c r="O61" s="733">
        <f t="shared" ca="1" si="8"/>
        <v>0</v>
      </c>
      <c r="P61" s="733">
        <f t="shared" si="8"/>
        <v>0</v>
      </c>
      <c r="Q61" s="733">
        <f t="shared" si="8"/>
        <v>0</v>
      </c>
      <c r="R61" s="733">
        <f ca="1">R46+R52+R56</f>
        <v>184888.72423255164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0.18650506677526904</v>
      </c>
      <c r="D63" s="776">
        <f t="shared" ca="1" si="9"/>
        <v>0.14163609820798609</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9415.7740000000013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25233.575996253916</v>
      </c>
      <c r="C76" s="743">
        <f>'lokale energieproductie'!B8*IFERROR(SUM(D76:H76)/SUM(D76:O76),0)</f>
        <v>37225.674003746084</v>
      </c>
      <c r="D76" s="1021">
        <f>'lokale energieproductie'!C8</f>
        <v>43794.477559391846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29686.266462225609</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8846.4844669971535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34649.349996253921</v>
      </c>
      <c r="C78" s="748">
        <f>SUM(C72:C77)</f>
        <v>37225.674003746084</v>
      </c>
      <c r="D78" s="749">
        <f t="shared" ref="D78:H78" si="10">SUM(D76:D77)</f>
        <v>43794.477559391846</v>
      </c>
      <c r="E78" s="749">
        <f t="shared" si="10"/>
        <v>0</v>
      </c>
      <c r="F78" s="749">
        <f t="shared" si="10"/>
        <v>0</v>
      </c>
      <c r="G78" s="749">
        <f t="shared" si="10"/>
        <v>0</v>
      </c>
      <c r="H78" s="749">
        <f t="shared" si="10"/>
        <v>0</v>
      </c>
      <c r="I78" s="749">
        <f>SUM(I76:I77)</f>
        <v>0</v>
      </c>
      <c r="J78" s="749">
        <f>SUM(J76:J77)</f>
        <v>29686.266462225609</v>
      </c>
      <c r="K78" s="749">
        <f t="shared" ref="K78:L78" si="11">SUM(K76:K77)</f>
        <v>0</v>
      </c>
      <c r="L78" s="749">
        <f t="shared" si="11"/>
        <v>0</v>
      </c>
      <c r="M78" s="749">
        <f>SUM(M76:M77)</f>
        <v>0</v>
      </c>
      <c r="N78" s="749">
        <f>SUM(N76:N77)</f>
        <v>0</v>
      </c>
      <c r="O78" s="856">
        <f>SUM(O76:O77)</f>
        <v>0</v>
      </c>
      <c r="P78" s="750">
        <v>0</v>
      </c>
      <c r="Q78" s="750">
        <f>SUM(Q76:Q77)</f>
        <v>8846.4844669971535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36054.458576111174</v>
      </c>
      <c r="C87" s="759">
        <f>'lokale energieproductie'!B17*IFERROR(SUM(D87:H87)/SUM(D87:O87),0)</f>
        <v>53189.112852460246</v>
      </c>
      <c r="D87" s="770">
        <f>'lokale energieproductie'!C17</f>
        <v>62574.808154893872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42416.59068063154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12640.111247288563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36054.458576111174</v>
      </c>
      <c r="C90" s="748">
        <f>SUM(C87:C89)</f>
        <v>53189.112852460246</v>
      </c>
      <c r="D90" s="748">
        <f t="shared" ref="D90:H90" si="12">SUM(D87:D89)</f>
        <v>62574.808154893872</v>
      </c>
      <c r="E90" s="748">
        <f t="shared" si="12"/>
        <v>0</v>
      </c>
      <c r="F90" s="748">
        <f t="shared" si="12"/>
        <v>0</v>
      </c>
      <c r="G90" s="748">
        <f t="shared" si="12"/>
        <v>0</v>
      </c>
      <c r="H90" s="748">
        <f t="shared" si="12"/>
        <v>0</v>
      </c>
      <c r="I90" s="748">
        <f>SUM(I87:I89)</f>
        <v>0</v>
      </c>
      <c r="J90" s="748">
        <f>SUM(J87:J89)</f>
        <v>42416.59068063154</v>
      </c>
      <c r="K90" s="748">
        <f t="shared" ref="K90:L90" si="13">SUM(K87:K89)</f>
        <v>0</v>
      </c>
      <c r="L90" s="748">
        <f t="shared" si="13"/>
        <v>0</v>
      </c>
      <c r="M90" s="748">
        <f>SUM(M87:M89)</f>
        <v>0</v>
      </c>
      <c r="N90" s="748">
        <f>SUM(N87:N89)</f>
        <v>0</v>
      </c>
      <c r="O90" s="748">
        <f>SUM(O87:O89)</f>
        <v>0</v>
      </c>
      <c r="P90" s="748">
        <v>0</v>
      </c>
      <c r="Q90" s="748">
        <f>SUM(Q87:Q89)</f>
        <v>12640.111247288563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58377.4206721714</v>
      </c>
      <c r="C4" s="462">
        <f>huishoudens!C8</f>
        <v>0</v>
      </c>
      <c r="D4" s="462">
        <f>huishoudens!D8</f>
        <v>99157.733760262476</v>
      </c>
      <c r="E4" s="462">
        <f>huishoudens!E8</f>
        <v>10914.744594854517</v>
      </c>
      <c r="F4" s="462">
        <f>huishoudens!F8</f>
        <v>50386.635717566285</v>
      </c>
      <c r="G4" s="462">
        <f>huishoudens!G8</f>
        <v>0</v>
      </c>
      <c r="H4" s="462">
        <f>huishoudens!H8</f>
        <v>0</v>
      </c>
      <c r="I4" s="462">
        <f>huishoudens!I8</f>
        <v>0</v>
      </c>
      <c r="J4" s="462">
        <f>huishoudens!J8</f>
        <v>1318.131615387189</v>
      </c>
      <c r="K4" s="462">
        <f>huishoudens!K8</f>
        <v>0</v>
      </c>
      <c r="L4" s="462">
        <f>huishoudens!L8</f>
        <v>0</v>
      </c>
      <c r="M4" s="462">
        <f>huishoudens!M8</f>
        <v>0</v>
      </c>
      <c r="N4" s="462">
        <f>huishoudens!N8</f>
        <v>28411.394716369974</v>
      </c>
      <c r="O4" s="462">
        <f>huishoudens!O8</f>
        <v>404.90333333333331</v>
      </c>
      <c r="P4" s="463">
        <f>huishoudens!P8</f>
        <v>667.33333333333337</v>
      </c>
      <c r="Q4" s="464">
        <f>SUM(B4:P4)</f>
        <v>249638.2977432785</v>
      </c>
    </row>
    <row r="5" spans="1:17">
      <c r="A5" s="461" t="s">
        <v>156</v>
      </c>
      <c r="B5" s="462">
        <f ca="1">tertiair!B16</f>
        <v>48038.866619172353</v>
      </c>
      <c r="C5" s="462">
        <f ca="1">tertiair!C16</f>
        <v>22.5</v>
      </c>
      <c r="D5" s="462">
        <f ca="1">tertiair!D16</f>
        <v>56765.613236908808</v>
      </c>
      <c r="E5" s="462">
        <f>tertiair!E16</f>
        <v>622.11380776116596</v>
      </c>
      <c r="F5" s="462">
        <f ca="1">tertiair!F16</f>
        <v>9367.9406664777707</v>
      </c>
      <c r="G5" s="462">
        <f>tertiair!G16</f>
        <v>0</v>
      </c>
      <c r="H5" s="462">
        <f>tertiair!H16</f>
        <v>0</v>
      </c>
      <c r="I5" s="462">
        <f>tertiair!I16</f>
        <v>0</v>
      </c>
      <c r="J5" s="462">
        <f>tertiair!J16</f>
        <v>0</v>
      </c>
      <c r="K5" s="462">
        <f>tertiair!K16</f>
        <v>0</v>
      </c>
      <c r="L5" s="462">
        <f ca="1">tertiair!L16</f>
        <v>0</v>
      </c>
      <c r="M5" s="462">
        <f>tertiair!M16</f>
        <v>0</v>
      </c>
      <c r="N5" s="462">
        <f ca="1">tertiair!N16</f>
        <v>3208.4377622764541</v>
      </c>
      <c r="O5" s="462">
        <f>tertiair!O16</f>
        <v>0</v>
      </c>
      <c r="P5" s="463">
        <f>tertiair!P16</f>
        <v>76.266666666666666</v>
      </c>
      <c r="Q5" s="461">
        <f t="shared" ref="Q5:Q14" ca="1" si="0">SUM(B5:P5)</f>
        <v>118101.73875926323</v>
      </c>
    </row>
    <row r="6" spans="1:17">
      <c r="A6" s="461" t="s">
        <v>194</v>
      </c>
      <c r="B6" s="462">
        <f>'openbare verlichting'!B8</f>
        <v>2600.1410000000001</v>
      </c>
      <c r="C6" s="462"/>
      <c r="D6" s="462"/>
      <c r="E6" s="462"/>
      <c r="F6" s="462"/>
      <c r="G6" s="462"/>
      <c r="H6" s="462"/>
      <c r="I6" s="462"/>
      <c r="J6" s="462"/>
      <c r="K6" s="462"/>
      <c r="L6" s="462"/>
      <c r="M6" s="462"/>
      <c r="N6" s="462"/>
      <c r="O6" s="462"/>
      <c r="P6" s="463"/>
      <c r="Q6" s="461">
        <f t="shared" si="0"/>
        <v>2600.1410000000001</v>
      </c>
    </row>
    <row r="7" spans="1:17">
      <c r="A7" s="461" t="s">
        <v>112</v>
      </c>
      <c r="B7" s="462">
        <f>landbouw!B8</f>
        <v>4464.8861399216366</v>
      </c>
      <c r="C7" s="462">
        <f>landbouw!C8</f>
        <v>89221.07142857142</v>
      </c>
      <c r="D7" s="462">
        <f>landbouw!D8</f>
        <v>0</v>
      </c>
      <c r="E7" s="462">
        <f>landbouw!E8</f>
        <v>56.263317305849171</v>
      </c>
      <c r="F7" s="462">
        <f>landbouw!F8</f>
        <v>15404.975703542057</v>
      </c>
      <c r="G7" s="462">
        <f>landbouw!G8</f>
        <v>0</v>
      </c>
      <c r="H7" s="462">
        <f>landbouw!H8</f>
        <v>0</v>
      </c>
      <c r="I7" s="462">
        <f>landbouw!I8</f>
        <v>0</v>
      </c>
      <c r="J7" s="462">
        <f>landbouw!J8</f>
        <v>671.46812040988743</v>
      </c>
      <c r="K7" s="462">
        <f>landbouw!K8</f>
        <v>0</v>
      </c>
      <c r="L7" s="462">
        <f>landbouw!L8</f>
        <v>0</v>
      </c>
      <c r="M7" s="462">
        <f>landbouw!M8</f>
        <v>0</v>
      </c>
      <c r="N7" s="462">
        <f>landbouw!N8</f>
        <v>0</v>
      </c>
      <c r="O7" s="462">
        <f>landbouw!O8</f>
        <v>0</v>
      </c>
      <c r="P7" s="463">
        <f>landbouw!P8</f>
        <v>0</v>
      </c>
      <c r="Q7" s="461">
        <f t="shared" si="0"/>
        <v>109818.66470975085</v>
      </c>
    </row>
    <row r="8" spans="1:17">
      <c r="A8" s="461" t="s">
        <v>657</v>
      </c>
      <c r="B8" s="462">
        <f>industrie!B18</f>
        <v>88471.032375110051</v>
      </c>
      <c r="C8" s="462">
        <f>industrie!C18</f>
        <v>0</v>
      </c>
      <c r="D8" s="462">
        <f>industrie!D18</f>
        <v>84537.643793547875</v>
      </c>
      <c r="E8" s="462">
        <f>industrie!E18</f>
        <v>8774.9017448113354</v>
      </c>
      <c r="F8" s="462">
        <f>industrie!F18</f>
        <v>77740.595984318439</v>
      </c>
      <c r="G8" s="462">
        <f>industrie!G18</f>
        <v>0</v>
      </c>
      <c r="H8" s="462">
        <f>industrie!H18</f>
        <v>0</v>
      </c>
      <c r="I8" s="462">
        <f>industrie!I18</f>
        <v>0</v>
      </c>
      <c r="J8" s="462">
        <f>industrie!J18</f>
        <v>55.607334921602579</v>
      </c>
      <c r="K8" s="462">
        <f>industrie!K18</f>
        <v>0</v>
      </c>
      <c r="L8" s="462">
        <f>industrie!L18</f>
        <v>0</v>
      </c>
      <c r="M8" s="462">
        <f>industrie!M18</f>
        <v>0</v>
      </c>
      <c r="N8" s="462">
        <f>industrie!N18</f>
        <v>22410.424912126364</v>
      </c>
      <c r="O8" s="462">
        <f>industrie!O18</f>
        <v>0</v>
      </c>
      <c r="P8" s="463">
        <f>industrie!P18</f>
        <v>0</v>
      </c>
      <c r="Q8" s="461">
        <f t="shared" si="0"/>
        <v>281990.20614483568</v>
      </c>
    </row>
    <row r="9" spans="1:17" s="467" customFormat="1">
      <c r="A9" s="465" t="s">
        <v>574</v>
      </c>
      <c r="B9" s="466">
        <f>transport!B14</f>
        <v>8.8131031478601525</v>
      </c>
      <c r="C9" s="466">
        <f>transport!C14</f>
        <v>0</v>
      </c>
      <c r="D9" s="466">
        <f>transport!D14</f>
        <v>14.495473863516009</v>
      </c>
      <c r="E9" s="466">
        <f>transport!E14</f>
        <v>443.87188938758891</v>
      </c>
      <c r="F9" s="466">
        <f>transport!F14</f>
        <v>0</v>
      </c>
      <c r="G9" s="466">
        <f>transport!G14</f>
        <v>121685.79474987641</v>
      </c>
      <c r="H9" s="466">
        <f>transport!H14</f>
        <v>21696.30516981642</v>
      </c>
      <c r="I9" s="466">
        <f>transport!I14</f>
        <v>0</v>
      </c>
      <c r="J9" s="466">
        <f>transport!J14</f>
        <v>0</v>
      </c>
      <c r="K9" s="466">
        <f>transport!K14</f>
        <v>0</v>
      </c>
      <c r="L9" s="466">
        <f>transport!L14</f>
        <v>0</v>
      </c>
      <c r="M9" s="466">
        <f>transport!M14</f>
        <v>6481.6648831805796</v>
      </c>
      <c r="N9" s="466">
        <f>transport!N14</f>
        <v>0</v>
      </c>
      <c r="O9" s="466">
        <f>transport!O14</f>
        <v>0</v>
      </c>
      <c r="P9" s="466">
        <f>transport!P14</f>
        <v>0</v>
      </c>
      <c r="Q9" s="465">
        <f>SUM(B9:P9)</f>
        <v>150330.94526927237</v>
      </c>
    </row>
    <row r="10" spans="1:17">
      <c r="A10" s="461" t="s">
        <v>564</v>
      </c>
      <c r="B10" s="462">
        <f>transport!B54</f>
        <v>0</v>
      </c>
      <c r="C10" s="462">
        <f>transport!C54</f>
        <v>0</v>
      </c>
      <c r="D10" s="462">
        <f>transport!D54</f>
        <v>0</v>
      </c>
      <c r="E10" s="462">
        <f>transport!E54</f>
        <v>0</v>
      </c>
      <c r="F10" s="462">
        <f>transport!F54</f>
        <v>0</v>
      </c>
      <c r="G10" s="462">
        <f>transport!G54</f>
        <v>2086.9657650541326</v>
      </c>
      <c r="H10" s="462">
        <f>transport!H54</f>
        <v>0</v>
      </c>
      <c r="I10" s="462">
        <f>transport!I54</f>
        <v>0</v>
      </c>
      <c r="J10" s="462">
        <f>transport!J54</f>
        <v>0</v>
      </c>
      <c r="K10" s="462">
        <f>transport!K54</f>
        <v>0</v>
      </c>
      <c r="L10" s="462">
        <f>transport!L54</f>
        <v>0</v>
      </c>
      <c r="M10" s="462">
        <f>transport!M54</f>
        <v>92.812472115703144</v>
      </c>
      <c r="N10" s="462">
        <f>transport!N54</f>
        <v>0</v>
      </c>
      <c r="O10" s="462">
        <f>transport!O54</f>
        <v>0</v>
      </c>
      <c r="P10" s="463">
        <f>transport!P54</f>
        <v>0</v>
      </c>
      <c r="Q10" s="461">
        <f t="shared" si="0"/>
        <v>2179.7782371698358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2065.7848928242702</v>
      </c>
      <c r="C14" s="469"/>
      <c r="D14" s="469">
        <f>'SEAP template'!E25</f>
        <v>4446.3151837247706</v>
      </c>
      <c r="E14" s="469"/>
      <c r="F14" s="469"/>
      <c r="G14" s="469"/>
      <c r="H14" s="469"/>
      <c r="I14" s="469"/>
      <c r="J14" s="469"/>
      <c r="K14" s="469"/>
      <c r="L14" s="469"/>
      <c r="M14" s="469"/>
      <c r="N14" s="469"/>
      <c r="O14" s="469"/>
      <c r="P14" s="470"/>
      <c r="Q14" s="461">
        <f t="shared" si="0"/>
        <v>6512.1000765490408</v>
      </c>
    </row>
    <row r="15" spans="1:17" s="474" customFormat="1">
      <c r="A15" s="471" t="s">
        <v>568</v>
      </c>
      <c r="B15" s="472">
        <f ca="1">SUM(B4:B14)</f>
        <v>204026.9448023476</v>
      </c>
      <c r="C15" s="472">
        <f t="shared" ref="C15:Q15" ca="1" si="1">SUM(C4:C14)</f>
        <v>89243.57142857142</v>
      </c>
      <c r="D15" s="472">
        <f t="shared" ca="1" si="1"/>
        <v>244921.80144830747</v>
      </c>
      <c r="E15" s="472">
        <f t="shared" si="1"/>
        <v>20811.895354120457</v>
      </c>
      <c r="F15" s="472">
        <f t="shared" ca="1" si="1"/>
        <v>152900.14807190455</v>
      </c>
      <c r="G15" s="472">
        <f t="shared" si="1"/>
        <v>123772.76051493055</v>
      </c>
      <c r="H15" s="472">
        <f t="shared" si="1"/>
        <v>21696.30516981642</v>
      </c>
      <c r="I15" s="472">
        <f t="shared" si="1"/>
        <v>0</v>
      </c>
      <c r="J15" s="472">
        <f t="shared" si="1"/>
        <v>2045.207070718679</v>
      </c>
      <c r="K15" s="472">
        <f t="shared" si="1"/>
        <v>0</v>
      </c>
      <c r="L15" s="472">
        <f t="shared" ca="1" si="1"/>
        <v>0</v>
      </c>
      <c r="M15" s="472">
        <f t="shared" si="1"/>
        <v>6574.4773552962824</v>
      </c>
      <c r="N15" s="472">
        <f t="shared" ca="1" si="1"/>
        <v>54030.257390772793</v>
      </c>
      <c r="O15" s="472">
        <f t="shared" si="1"/>
        <v>404.90333333333331</v>
      </c>
      <c r="P15" s="472">
        <f t="shared" si="1"/>
        <v>743.6</v>
      </c>
      <c r="Q15" s="472">
        <f t="shared" ca="1" si="1"/>
        <v>921171.87194011942</v>
      </c>
    </row>
    <row r="17" spans="1:17">
      <c r="A17" s="475" t="s">
        <v>569</v>
      </c>
      <c r="B17" s="781">
        <f ca="1">huishoudens!B10</f>
        <v>0.18650506677526907</v>
      </c>
      <c r="C17" s="781">
        <f ca="1">huishoudens!C10</f>
        <v>0.14163609820798609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10887.684740631299</v>
      </c>
      <c r="C22" s="462">
        <f t="shared" ref="C22:C32" ca="1" si="3">C4*$C$17</f>
        <v>0</v>
      </c>
      <c r="D22" s="462">
        <f t="shared" ref="D22:D32" si="4">D4*$D$17</f>
        <v>20029.86221957302</v>
      </c>
      <c r="E22" s="462">
        <f t="shared" ref="E22:E32" si="5">E4*$E$17</f>
        <v>2477.6470230319756</v>
      </c>
      <c r="F22" s="462">
        <f t="shared" ref="F22:F32" si="6">F4*$F$17</f>
        <v>13453.231736590198</v>
      </c>
      <c r="G22" s="462">
        <f t="shared" ref="G22:G32" si="7">G4*$G$17</f>
        <v>0</v>
      </c>
      <c r="H22" s="462">
        <f t="shared" ref="H22:H32" si="8">H4*$H$17</f>
        <v>0</v>
      </c>
      <c r="I22" s="462">
        <f t="shared" ref="I22:I32" si="9">I4*$I$17</f>
        <v>0</v>
      </c>
      <c r="J22" s="462">
        <f t="shared" ref="J22:J32" si="10">J4*$J$17</f>
        <v>466.61859184706486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47315.044311673562</v>
      </c>
    </row>
    <row r="23" spans="1:17">
      <c r="A23" s="461" t="s">
        <v>156</v>
      </c>
      <c r="B23" s="462">
        <f t="shared" ca="1" si="2"/>
        <v>8959.4920266169847</v>
      </c>
      <c r="C23" s="462">
        <f t="shared" ca="1" si="3"/>
        <v>3.1868122096796871</v>
      </c>
      <c r="D23" s="462">
        <f t="shared" ca="1" si="4"/>
        <v>11466.653873855579</v>
      </c>
      <c r="E23" s="462">
        <f t="shared" si="5"/>
        <v>141.21983436178468</v>
      </c>
      <c r="F23" s="462">
        <f t="shared" ca="1" si="6"/>
        <v>2501.2401579495649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23071.792704993593</v>
      </c>
    </row>
    <row r="24" spans="1:17">
      <c r="A24" s="461" t="s">
        <v>194</v>
      </c>
      <c r="B24" s="462">
        <f t="shared" ca="1" si="2"/>
        <v>484.93947083011489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484.93947083011489</v>
      </c>
    </row>
    <row r="25" spans="1:17">
      <c r="A25" s="461" t="s">
        <v>112</v>
      </c>
      <c r="B25" s="462">
        <f t="shared" ca="1" si="2"/>
        <v>832.72388767005816</v>
      </c>
      <c r="C25" s="462">
        <f t="shared" ca="1" si="3"/>
        <v>12636.924435078883</v>
      </c>
      <c r="D25" s="462">
        <f t="shared" si="4"/>
        <v>0</v>
      </c>
      <c r="E25" s="462">
        <f t="shared" si="5"/>
        <v>12.771773028427763</v>
      </c>
      <c r="F25" s="462">
        <f t="shared" si="6"/>
        <v>4113.1285128457293</v>
      </c>
      <c r="G25" s="462">
        <f t="shared" si="7"/>
        <v>0</v>
      </c>
      <c r="H25" s="462">
        <f t="shared" si="8"/>
        <v>0</v>
      </c>
      <c r="I25" s="462">
        <f t="shared" si="9"/>
        <v>0</v>
      </c>
      <c r="J25" s="462">
        <f t="shared" si="10"/>
        <v>237.69971462510014</v>
      </c>
      <c r="K25" s="462">
        <f t="shared" si="11"/>
        <v>0</v>
      </c>
      <c r="L25" s="462">
        <f t="shared" si="12"/>
        <v>0</v>
      </c>
      <c r="M25" s="462">
        <f t="shared" si="13"/>
        <v>0</v>
      </c>
      <c r="N25" s="462">
        <f t="shared" si="14"/>
        <v>0</v>
      </c>
      <c r="O25" s="462">
        <f t="shared" si="15"/>
        <v>0</v>
      </c>
      <c r="P25" s="463">
        <f t="shared" si="16"/>
        <v>0</v>
      </c>
      <c r="Q25" s="461">
        <f t="shared" ca="1" si="17"/>
        <v>17833.248323248197</v>
      </c>
    </row>
    <row r="26" spans="1:17">
      <c r="A26" s="461" t="s">
        <v>657</v>
      </c>
      <c r="B26" s="462">
        <f t="shared" ca="1" si="2"/>
        <v>16500.295800796892</v>
      </c>
      <c r="C26" s="462">
        <f t="shared" ca="1" si="3"/>
        <v>0</v>
      </c>
      <c r="D26" s="462">
        <f t="shared" si="4"/>
        <v>17076.60404629667</v>
      </c>
      <c r="E26" s="462">
        <f t="shared" si="5"/>
        <v>1991.9026960721733</v>
      </c>
      <c r="F26" s="462">
        <f t="shared" si="6"/>
        <v>20756.739127813024</v>
      </c>
      <c r="G26" s="462">
        <f t="shared" si="7"/>
        <v>0</v>
      </c>
      <c r="H26" s="462">
        <f t="shared" si="8"/>
        <v>0</v>
      </c>
      <c r="I26" s="462">
        <f t="shared" si="9"/>
        <v>0</v>
      </c>
      <c r="J26" s="462">
        <f t="shared" si="10"/>
        <v>19.684996562247314</v>
      </c>
      <c r="K26" s="462">
        <f t="shared" si="11"/>
        <v>0</v>
      </c>
      <c r="L26" s="462">
        <f t="shared" si="12"/>
        <v>0</v>
      </c>
      <c r="M26" s="462">
        <f t="shared" si="13"/>
        <v>0</v>
      </c>
      <c r="N26" s="462">
        <f t="shared" si="14"/>
        <v>0</v>
      </c>
      <c r="O26" s="462">
        <f t="shared" si="15"/>
        <v>0</v>
      </c>
      <c r="P26" s="463">
        <f t="shared" si="16"/>
        <v>0</v>
      </c>
      <c r="Q26" s="461">
        <f t="shared" ca="1" si="17"/>
        <v>56345.226667541006</v>
      </c>
    </row>
    <row r="27" spans="1:17" s="467" customFormat="1">
      <c r="A27" s="465" t="s">
        <v>574</v>
      </c>
      <c r="B27" s="775">
        <f t="shared" ca="1" si="2"/>
        <v>1.6436883910889917</v>
      </c>
      <c r="C27" s="466">
        <f t="shared" ca="1" si="3"/>
        <v>0</v>
      </c>
      <c r="D27" s="466">
        <f t="shared" si="4"/>
        <v>2.928085720430234</v>
      </c>
      <c r="E27" s="466">
        <f t="shared" si="5"/>
        <v>100.75891889098268</v>
      </c>
      <c r="F27" s="466">
        <f t="shared" si="6"/>
        <v>0</v>
      </c>
      <c r="G27" s="466">
        <f t="shared" si="7"/>
        <v>32490.107198217003</v>
      </c>
      <c r="H27" s="466">
        <f t="shared" si="8"/>
        <v>5402.3799872842883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37997.817878503796</v>
      </c>
    </row>
    <row r="28" spans="1:17">
      <c r="A28" s="461" t="s">
        <v>564</v>
      </c>
      <c r="B28" s="462">
        <f t="shared" ca="1" si="2"/>
        <v>0</v>
      </c>
      <c r="C28" s="462">
        <f t="shared" ca="1" si="3"/>
        <v>0</v>
      </c>
      <c r="D28" s="462">
        <f t="shared" si="4"/>
        <v>0</v>
      </c>
      <c r="E28" s="462">
        <f t="shared" si="5"/>
        <v>0</v>
      </c>
      <c r="F28" s="462">
        <f t="shared" si="6"/>
        <v>0</v>
      </c>
      <c r="G28" s="462">
        <f t="shared" si="7"/>
        <v>557.21985926945342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557.21985926945342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385.27934937953256</v>
      </c>
      <c r="C32" s="462">
        <f t="shared" ca="1" si="3"/>
        <v>0</v>
      </c>
      <c r="D32" s="462">
        <f t="shared" si="4"/>
        <v>898.15566711240376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1283.4350164919363</v>
      </c>
    </row>
    <row r="33" spans="1:17" s="474" customFormat="1">
      <c r="A33" s="471" t="s">
        <v>568</v>
      </c>
      <c r="B33" s="472">
        <f ca="1">SUM(B22:B32)</f>
        <v>38052.058964315969</v>
      </c>
      <c r="C33" s="472">
        <f t="shared" ref="C33:Q33" ca="1" si="18">SUM(C22:C32)</f>
        <v>12640.111247288563</v>
      </c>
      <c r="D33" s="472">
        <f t="shared" ca="1" si="18"/>
        <v>49474.203892558107</v>
      </c>
      <c r="E33" s="472">
        <f t="shared" si="18"/>
        <v>4724.3002453853433</v>
      </c>
      <c r="F33" s="472">
        <f t="shared" ca="1" si="18"/>
        <v>40824.339535198516</v>
      </c>
      <c r="G33" s="472">
        <f t="shared" si="18"/>
        <v>33047.327057486458</v>
      </c>
      <c r="H33" s="472">
        <f t="shared" si="18"/>
        <v>5402.3799872842883</v>
      </c>
      <c r="I33" s="472">
        <f t="shared" si="18"/>
        <v>0</v>
      </c>
      <c r="J33" s="472">
        <f t="shared" si="18"/>
        <v>724.00330303441228</v>
      </c>
      <c r="K33" s="472">
        <f t="shared" si="18"/>
        <v>0</v>
      </c>
      <c r="L33" s="472">
        <f t="shared" ca="1" si="18"/>
        <v>0</v>
      </c>
      <c r="M33" s="472">
        <f t="shared" si="18"/>
        <v>0</v>
      </c>
      <c r="N33" s="472">
        <f t="shared" ca="1" si="18"/>
        <v>0</v>
      </c>
      <c r="O33" s="472">
        <f t="shared" si="18"/>
        <v>0</v>
      </c>
      <c r="P33" s="472">
        <f t="shared" si="18"/>
        <v>0</v>
      </c>
      <c r="Q33" s="472">
        <f t="shared" ca="1" si="18"/>
        <v>184888.72423255164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9415.7740000000013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25233.575996253916</v>
      </c>
      <c r="C8" s="1047">
        <f>'SEAP template'!C76</f>
        <v>37225.674003746084</v>
      </c>
      <c r="D8" s="1047">
        <f>'SEAP template'!D76</f>
        <v>43794.477559391846</v>
      </c>
      <c r="E8" s="1047">
        <f>'SEAP template'!E76</f>
        <v>0</v>
      </c>
      <c r="F8" s="1047">
        <f>'SEAP template'!F76</f>
        <v>0</v>
      </c>
      <c r="G8" s="1047">
        <f>'SEAP template'!G76</f>
        <v>0</v>
      </c>
      <c r="H8" s="1047">
        <f>'SEAP template'!H76</f>
        <v>0</v>
      </c>
      <c r="I8" s="1047">
        <f>'SEAP template'!I76</f>
        <v>0</v>
      </c>
      <c r="J8" s="1047">
        <f>'SEAP template'!J76</f>
        <v>29686.266462225609</v>
      </c>
      <c r="K8" s="1047">
        <f>'SEAP template'!K76</f>
        <v>0</v>
      </c>
      <c r="L8" s="1047">
        <f>'SEAP template'!L76</f>
        <v>0</v>
      </c>
      <c r="M8" s="1047">
        <f>'SEAP template'!M76</f>
        <v>0</v>
      </c>
      <c r="N8" s="1047">
        <f>'SEAP template'!N76</f>
        <v>0</v>
      </c>
      <c r="O8" s="1047">
        <f>'SEAP template'!O76</f>
        <v>0</v>
      </c>
      <c r="P8" s="1048">
        <f>'SEAP template'!Q76</f>
        <v>8846.4844669971535</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34649.349996253921</v>
      </c>
      <c r="C10" s="1051">
        <f>SUM(C4:C9)</f>
        <v>37225.674003746084</v>
      </c>
      <c r="D10" s="1051">
        <f t="shared" ref="D10:H10" si="0">SUM(D8:D9)</f>
        <v>43794.477559391846</v>
      </c>
      <c r="E10" s="1051">
        <f t="shared" si="0"/>
        <v>0</v>
      </c>
      <c r="F10" s="1051">
        <f t="shared" si="0"/>
        <v>0</v>
      </c>
      <c r="G10" s="1051">
        <f t="shared" si="0"/>
        <v>0</v>
      </c>
      <c r="H10" s="1051">
        <f t="shared" si="0"/>
        <v>0</v>
      </c>
      <c r="I10" s="1051">
        <f>SUM(I8:I9)</f>
        <v>0</v>
      </c>
      <c r="J10" s="1051">
        <f>SUM(J8:J9)</f>
        <v>29686.266462225609</v>
      </c>
      <c r="K10" s="1051">
        <f t="shared" ref="K10:L10" si="1">SUM(K8:K9)</f>
        <v>0</v>
      </c>
      <c r="L10" s="1051">
        <f t="shared" si="1"/>
        <v>0</v>
      </c>
      <c r="M10" s="1051">
        <f>SUM(M8:M9)</f>
        <v>0</v>
      </c>
      <c r="N10" s="1051">
        <f>SUM(N8:N9)</f>
        <v>0</v>
      </c>
      <c r="O10" s="1051">
        <f>SUM(O8:O9)</f>
        <v>0</v>
      </c>
      <c r="P10" s="1051">
        <f>SUM(P8:P9)</f>
        <v>8846.4844669971535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0.18650506677526907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36054.458576111174</v>
      </c>
      <c r="C17" s="1053">
        <f>'SEAP template'!C87</f>
        <v>53189.112852460246</v>
      </c>
      <c r="D17" s="1048">
        <f>'SEAP template'!D87</f>
        <v>62574.808154893872</v>
      </c>
      <c r="E17" s="1048">
        <f>'SEAP template'!E87</f>
        <v>0</v>
      </c>
      <c r="F17" s="1048">
        <f>'SEAP template'!F87</f>
        <v>0</v>
      </c>
      <c r="G17" s="1048">
        <f>'SEAP template'!G87</f>
        <v>0</v>
      </c>
      <c r="H17" s="1048">
        <f>'SEAP template'!H87</f>
        <v>0</v>
      </c>
      <c r="I17" s="1048">
        <f>'SEAP template'!I87</f>
        <v>0</v>
      </c>
      <c r="J17" s="1048">
        <f>'SEAP template'!J87</f>
        <v>42416.59068063154</v>
      </c>
      <c r="K17" s="1048">
        <f>'SEAP template'!K87</f>
        <v>0</v>
      </c>
      <c r="L17" s="1048">
        <f>'SEAP template'!L87</f>
        <v>0</v>
      </c>
      <c r="M17" s="1048">
        <f>'SEAP template'!M87</f>
        <v>0</v>
      </c>
      <c r="N17" s="1048">
        <f>'SEAP template'!N87</f>
        <v>0</v>
      </c>
      <c r="O17" s="1048">
        <f>'SEAP template'!O87</f>
        <v>0</v>
      </c>
      <c r="P17" s="1048">
        <f>'SEAP template'!Q87</f>
        <v>12640.111247288563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36054.458576111174</v>
      </c>
      <c r="C20" s="1051">
        <f>SUM(C17:C19)</f>
        <v>53189.112852460246</v>
      </c>
      <c r="D20" s="1051">
        <f t="shared" ref="D20:H20" si="2">SUM(D17:D19)</f>
        <v>62574.808154893872</v>
      </c>
      <c r="E20" s="1051">
        <f t="shared" si="2"/>
        <v>0</v>
      </c>
      <c r="F20" s="1051">
        <f t="shared" si="2"/>
        <v>0</v>
      </c>
      <c r="G20" s="1051">
        <f t="shared" si="2"/>
        <v>0</v>
      </c>
      <c r="H20" s="1051">
        <f t="shared" si="2"/>
        <v>0</v>
      </c>
      <c r="I20" s="1051">
        <f>SUM(I17:I19)</f>
        <v>0</v>
      </c>
      <c r="J20" s="1051">
        <f>SUM(J17:J19)</f>
        <v>42416.59068063154</v>
      </c>
      <c r="K20" s="1051">
        <f t="shared" ref="K20:L20" si="3">SUM(K17:K19)</f>
        <v>0</v>
      </c>
      <c r="L20" s="1051">
        <f t="shared" si="3"/>
        <v>0</v>
      </c>
      <c r="M20" s="1051">
        <f>SUM(M17:M19)</f>
        <v>0</v>
      </c>
      <c r="N20" s="1051">
        <f>SUM(N17:N19)</f>
        <v>0</v>
      </c>
      <c r="O20" s="1051">
        <f>SUM(O17:O19)</f>
        <v>0</v>
      </c>
      <c r="P20" s="1051">
        <f>SUM(P17:P19)</f>
        <v>12640.111247288563</v>
      </c>
    </row>
    <row r="22" spans="1:16">
      <c r="A22" s="475" t="s">
        <v>895</v>
      </c>
      <c r="B22" s="781" t="s">
        <v>889</v>
      </c>
      <c r="C22" s="781">
        <f ca="1">'EF ele_warmte'!B22</f>
        <v>0.14163609820798609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0.18650506677526907</v>
      </c>
      <c r="C17" s="512">
        <f ca="1">'EF ele_warmte'!B22</f>
        <v>0.14163609820798609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0.18650506677526907</v>
      </c>
      <c r="C17" s="512">
        <f ca="1">'EF ele_warmte'!B22</f>
        <v>0.14163609820798609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0.18650506677526907</v>
      </c>
      <c r="C29" s="513">
        <f ca="1">'EF ele_warmte'!B22</f>
        <v>0.14163609820798609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12441</v>
      </c>
      <c r="C9" s="338">
        <v>13481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4636</v>
      </c>
    </row>
    <row r="15" spans="1:6">
      <c r="A15" s="1295" t="s">
        <v>184</v>
      </c>
      <c r="B15" s="335">
        <v>59</v>
      </c>
    </row>
    <row r="16" spans="1:6">
      <c r="A16" s="1295" t="s">
        <v>6</v>
      </c>
      <c r="B16" s="335">
        <v>2273</v>
      </c>
    </row>
    <row r="17" spans="1:6">
      <c r="A17" s="1295" t="s">
        <v>7</v>
      </c>
      <c r="B17" s="335">
        <v>1746</v>
      </c>
    </row>
    <row r="18" spans="1:6">
      <c r="A18" s="1295" t="s">
        <v>8</v>
      </c>
      <c r="B18" s="335">
        <v>2526</v>
      </c>
    </row>
    <row r="19" spans="1:6">
      <c r="A19" s="1295" t="s">
        <v>9</v>
      </c>
      <c r="B19" s="335">
        <v>2346</v>
      </c>
    </row>
    <row r="20" spans="1:6">
      <c r="A20" s="1295" t="s">
        <v>10</v>
      </c>
      <c r="B20" s="335">
        <v>1519</v>
      </c>
    </row>
    <row r="21" spans="1:6">
      <c r="A21" s="1295" t="s">
        <v>11</v>
      </c>
      <c r="B21" s="335">
        <v>8290</v>
      </c>
    </row>
    <row r="22" spans="1:6">
      <c r="A22" s="1295" t="s">
        <v>12</v>
      </c>
      <c r="B22" s="335">
        <v>37046</v>
      </c>
    </row>
    <row r="23" spans="1:6">
      <c r="A23" s="1295" t="s">
        <v>13</v>
      </c>
      <c r="B23" s="335">
        <v>310</v>
      </c>
    </row>
    <row r="24" spans="1:6">
      <c r="A24" s="1295" t="s">
        <v>14</v>
      </c>
      <c r="B24" s="335">
        <v>23</v>
      </c>
    </row>
    <row r="25" spans="1:6">
      <c r="A25" s="1295" t="s">
        <v>15</v>
      </c>
      <c r="B25" s="335">
        <v>2319</v>
      </c>
    </row>
    <row r="26" spans="1:6">
      <c r="A26" s="1295" t="s">
        <v>16</v>
      </c>
      <c r="B26" s="335">
        <v>180</v>
      </c>
    </row>
    <row r="27" spans="1:6">
      <c r="A27" s="1295" t="s">
        <v>17</v>
      </c>
      <c r="B27" s="335">
        <v>0</v>
      </c>
    </row>
    <row r="28" spans="1:6" s="341" customFormat="1">
      <c r="A28" s="1296" t="s">
        <v>18</v>
      </c>
      <c r="B28" s="1296">
        <v>310722</v>
      </c>
    </row>
    <row r="29" spans="1:6">
      <c r="A29" s="1296" t="s">
        <v>909</v>
      </c>
      <c r="B29" s="1296">
        <v>181</v>
      </c>
      <c r="C29" s="341"/>
      <c r="D29" s="341"/>
      <c r="E29" s="341"/>
      <c r="F29" s="341"/>
    </row>
    <row r="30" spans="1:6">
      <c r="A30" s="1291" t="s">
        <v>910</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85526.875726175203</v>
      </c>
    </row>
    <row r="36" spans="1:6">
      <c r="A36" s="1295" t="s">
        <v>25</v>
      </c>
      <c r="B36" s="1295" t="s">
        <v>27</v>
      </c>
      <c r="C36" s="335">
        <v>4</v>
      </c>
      <c r="D36" s="335">
        <v>77590.542891881094</v>
      </c>
      <c r="E36" s="335">
        <v>8</v>
      </c>
      <c r="F36" s="335">
        <v>634946.39763331797</v>
      </c>
    </row>
    <row r="37" spans="1:6">
      <c r="A37" s="1295" t="s">
        <v>25</v>
      </c>
      <c r="B37" s="1295" t="s">
        <v>28</v>
      </c>
      <c r="C37" s="335">
        <v>0</v>
      </c>
      <c r="D37" s="335">
        <v>0</v>
      </c>
      <c r="E37" s="335">
        <v>0</v>
      </c>
      <c r="F37" s="335">
        <v>0</v>
      </c>
    </row>
    <row r="38" spans="1:6">
      <c r="A38" s="1295" t="s">
        <v>25</v>
      </c>
      <c r="B38" s="1295" t="s">
        <v>29</v>
      </c>
      <c r="C38" s="335">
        <v>2</v>
      </c>
      <c r="D38" s="335">
        <v>87081439.275146097</v>
      </c>
      <c r="E38" s="335">
        <v>2</v>
      </c>
      <c r="F38" s="335">
        <v>20870.792515451001</v>
      </c>
    </row>
    <row r="39" spans="1:6">
      <c r="A39" s="1295" t="s">
        <v>30</v>
      </c>
      <c r="B39" s="1295" t="s">
        <v>31</v>
      </c>
      <c r="C39" s="335">
        <v>6665</v>
      </c>
      <c r="D39" s="335">
        <v>109930968.69208699</v>
      </c>
      <c r="E39" s="335">
        <v>12060</v>
      </c>
      <c r="F39" s="335">
        <v>53072389.672171399</v>
      </c>
    </row>
    <row r="40" spans="1:6">
      <c r="A40" s="1295" t="s">
        <v>30</v>
      </c>
      <c r="B40" s="1295" t="s">
        <v>29</v>
      </c>
      <c r="C40" s="335">
        <v>0</v>
      </c>
      <c r="D40" s="335">
        <v>0</v>
      </c>
      <c r="E40" s="335">
        <v>0</v>
      </c>
      <c r="F40" s="335">
        <v>0</v>
      </c>
    </row>
    <row r="41" spans="1:6">
      <c r="A41" s="1295" t="s">
        <v>32</v>
      </c>
      <c r="B41" s="1295" t="s">
        <v>33</v>
      </c>
      <c r="C41" s="335">
        <v>120</v>
      </c>
      <c r="D41" s="335">
        <v>3307982.2947621299</v>
      </c>
      <c r="E41" s="335">
        <v>373</v>
      </c>
      <c r="F41" s="335">
        <v>16477514.9320234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9</v>
      </c>
      <c r="D44" s="335">
        <v>752564.44696409698</v>
      </c>
      <c r="E44" s="335">
        <v>33</v>
      </c>
      <c r="F44" s="335">
        <v>3440187.2435146002</v>
      </c>
    </row>
    <row r="45" spans="1:6">
      <c r="A45" s="1295" t="s">
        <v>32</v>
      </c>
      <c r="B45" s="1295" t="s">
        <v>37</v>
      </c>
      <c r="C45" s="335">
        <v>3</v>
      </c>
      <c r="D45" s="335">
        <v>124634.90756604</v>
      </c>
      <c r="E45" s="335">
        <v>12</v>
      </c>
      <c r="F45" s="335">
        <v>2858441.3475827798</v>
      </c>
    </row>
    <row r="46" spans="1:6">
      <c r="A46" s="1295" t="s">
        <v>32</v>
      </c>
      <c r="B46" s="1295" t="s">
        <v>38</v>
      </c>
      <c r="C46" s="335">
        <v>0</v>
      </c>
      <c r="D46" s="335">
        <v>0</v>
      </c>
      <c r="E46" s="335">
        <v>0</v>
      </c>
      <c r="F46" s="335">
        <v>0</v>
      </c>
    </row>
    <row r="47" spans="1:6">
      <c r="A47" s="1295" t="s">
        <v>32</v>
      </c>
      <c r="B47" s="1295" t="s">
        <v>39</v>
      </c>
      <c r="C47" s="335">
        <v>6</v>
      </c>
      <c r="D47" s="335">
        <v>457226.91966943198</v>
      </c>
      <c r="E47" s="335">
        <v>10</v>
      </c>
      <c r="F47" s="335">
        <v>890782.78151289502</v>
      </c>
    </row>
    <row r="48" spans="1:6">
      <c r="A48" s="1295" t="s">
        <v>32</v>
      </c>
      <c r="B48" s="1295" t="s">
        <v>29</v>
      </c>
      <c r="C48" s="335">
        <v>36</v>
      </c>
      <c r="D48" s="335">
        <v>59722111.769550003</v>
      </c>
      <c r="E48" s="335">
        <v>49</v>
      </c>
      <c r="F48" s="335">
        <v>15351421.836781301</v>
      </c>
    </row>
    <row r="49" spans="1:6">
      <c r="A49" s="1295" t="s">
        <v>32</v>
      </c>
      <c r="B49" s="1295" t="s">
        <v>40</v>
      </c>
      <c r="C49" s="335">
        <v>4</v>
      </c>
      <c r="D49" s="335">
        <v>21836999.7253603</v>
      </c>
      <c r="E49" s="335">
        <v>20</v>
      </c>
      <c r="F49" s="335">
        <v>8670569.8007893804</v>
      </c>
    </row>
    <row r="50" spans="1:6">
      <c r="A50" s="1295" t="s">
        <v>32</v>
      </c>
      <c r="B50" s="1295" t="s">
        <v>41</v>
      </c>
      <c r="C50" s="335">
        <v>11</v>
      </c>
      <c r="D50" s="335">
        <v>7520923.1662254203</v>
      </c>
      <c r="E50" s="335">
        <v>44</v>
      </c>
      <c r="F50" s="335">
        <v>40782114.432905696</v>
      </c>
    </row>
    <row r="51" spans="1:6">
      <c r="A51" s="1295" t="s">
        <v>42</v>
      </c>
      <c r="B51" s="1295" t="s">
        <v>43</v>
      </c>
      <c r="C51" s="335">
        <v>11</v>
      </c>
      <c r="D51" s="335">
        <v>28051584.208566699</v>
      </c>
      <c r="E51" s="335">
        <v>202</v>
      </c>
      <c r="F51" s="335">
        <v>4299363.9153716704</v>
      </c>
    </row>
    <row r="52" spans="1:6">
      <c r="A52" s="1295" t="s">
        <v>42</v>
      </c>
      <c r="B52" s="1295" t="s">
        <v>29</v>
      </c>
      <c r="C52" s="335">
        <v>3</v>
      </c>
      <c r="D52" s="335">
        <v>833600.91035054496</v>
      </c>
      <c r="E52" s="335">
        <v>6</v>
      </c>
      <c r="F52" s="335">
        <v>165522.22454996599</v>
      </c>
    </row>
    <row r="53" spans="1:6">
      <c r="A53" s="1295" t="s">
        <v>44</v>
      </c>
      <c r="B53" s="1295" t="s">
        <v>45</v>
      </c>
      <c r="C53" s="335">
        <v>188</v>
      </c>
      <c r="D53" s="335">
        <v>4446315.1837247703</v>
      </c>
      <c r="E53" s="335">
        <v>444</v>
      </c>
      <c r="F53" s="335">
        <v>2065784.8928242701</v>
      </c>
    </row>
    <row r="54" spans="1:6">
      <c r="A54" s="1295" t="s">
        <v>46</v>
      </c>
      <c r="B54" s="1295" t="s">
        <v>47</v>
      </c>
      <c r="C54" s="335">
        <v>0</v>
      </c>
      <c r="D54" s="335">
        <v>0</v>
      </c>
      <c r="E54" s="335">
        <v>2</v>
      </c>
      <c r="F54" s="335">
        <v>2600141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99</v>
      </c>
      <c r="D57" s="335">
        <v>9832067.0470072292</v>
      </c>
      <c r="E57" s="335">
        <v>166</v>
      </c>
      <c r="F57" s="335">
        <v>4027405.0409534499</v>
      </c>
    </row>
    <row r="58" spans="1:6">
      <c r="A58" s="1295" t="s">
        <v>49</v>
      </c>
      <c r="B58" s="1295" t="s">
        <v>51</v>
      </c>
      <c r="C58" s="335">
        <v>60</v>
      </c>
      <c r="D58" s="335">
        <v>10028713.2102385</v>
      </c>
      <c r="E58" s="335">
        <v>98</v>
      </c>
      <c r="F58" s="335">
        <v>6423798.05148366</v>
      </c>
    </row>
    <row r="59" spans="1:6">
      <c r="A59" s="1295" t="s">
        <v>49</v>
      </c>
      <c r="B59" s="1295" t="s">
        <v>52</v>
      </c>
      <c r="C59" s="335">
        <v>218</v>
      </c>
      <c r="D59" s="335">
        <v>14198038.0945812</v>
      </c>
      <c r="E59" s="335">
        <v>531</v>
      </c>
      <c r="F59" s="335">
        <v>20726601.035327699</v>
      </c>
    </row>
    <row r="60" spans="1:6">
      <c r="A60" s="1295" t="s">
        <v>49</v>
      </c>
      <c r="B60" s="1295" t="s">
        <v>53</v>
      </c>
      <c r="C60" s="335">
        <v>103</v>
      </c>
      <c r="D60" s="335">
        <v>4184266.82986756</v>
      </c>
      <c r="E60" s="335">
        <v>171</v>
      </c>
      <c r="F60" s="335">
        <v>3967207.7940000999</v>
      </c>
    </row>
    <row r="61" spans="1:6">
      <c r="A61" s="1295" t="s">
        <v>49</v>
      </c>
      <c r="B61" s="1295" t="s">
        <v>54</v>
      </c>
      <c r="C61" s="335">
        <v>298</v>
      </c>
      <c r="D61" s="335">
        <v>14952352.6714078</v>
      </c>
      <c r="E61" s="335">
        <v>718</v>
      </c>
      <c r="F61" s="335">
        <v>8209818.7037709998</v>
      </c>
    </row>
    <row r="62" spans="1:6">
      <c r="A62" s="1295" t="s">
        <v>49</v>
      </c>
      <c r="B62" s="1295" t="s">
        <v>55</v>
      </c>
      <c r="C62" s="335">
        <v>13</v>
      </c>
      <c r="D62" s="335">
        <v>2023055.62738363</v>
      </c>
      <c r="E62" s="335">
        <v>26</v>
      </c>
      <c r="F62" s="335">
        <v>1262444.4817264699</v>
      </c>
    </row>
    <row r="63" spans="1:6">
      <c r="A63" s="1295" t="s">
        <v>49</v>
      </c>
      <c r="B63" s="1295" t="s">
        <v>29</v>
      </c>
      <c r="C63" s="335">
        <v>98</v>
      </c>
      <c r="D63" s="335">
        <v>7747818.3120959103</v>
      </c>
      <c r="E63" s="335">
        <v>100</v>
      </c>
      <c r="F63" s="335">
        <v>3417091.5119099799</v>
      </c>
    </row>
    <row r="64" spans="1:6">
      <c r="A64" s="1295" t="s">
        <v>56</v>
      </c>
      <c r="B64" s="1295" t="s">
        <v>57</v>
      </c>
      <c r="C64" s="335">
        <v>0</v>
      </c>
      <c r="D64" s="335">
        <v>0</v>
      </c>
      <c r="E64" s="335">
        <v>0</v>
      </c>
      <c r="F64" s="335">
        <v>0</v>
      </c>
    </row>
    <row r="65" spans="1:6">
      <c r="A65" s="1295" t="s">
        <v>56</v>
      </c>
      <c r="B65" s="1295" t="s">
        <v>29</v>
      </c>
      <c r="C65" s="335">
        <v>2</v>
      </c>
      <c r="D65" s="335">
        <v>49940.665244477597</v>
      </c>
      <c r="E65" s="335">
        <v>4</v>
      </c>
      <c r="F65" s="335">
        <v>19454.9518247407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1000529.369038</v>
      </c>
      <c r="E68" s="335">
        <v>17</v>
      </c>
      <c r="F68" s="335">
        <v>750121.96624694101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128068651</v>
      </c>
      <c r="E73" s="335">
        <v>125412089.49022633</v>
      </c>
    </row>
    <row r="74" spans="1:6">
      <c r="A74" s="1295" t="s">
        <v>64</v>
      </c>
      <c r="B74" s="1295" t="s">
        <v>727</v>
      </c>
      <c r="C74" s="1295" t="s">
        <v>728</v>
      </c>
      <c r="D74" s="335">
        <v>14385291.291667683</v>
      </c>
      <c r="E74" s="335">
        <v>14189101.587460106</v>
      </c>
    </row>
    <row r="75" spans="1:6">
      <c r="A75" s="1295" t="s">
        <v>65</v>
      </c>
      <c r="B75" s="1295" t="s">
        <v>725</v>
      </c>
      <c r="C75" s="1295" t="s">
        <v>729</v>
      </c>
      <c r="D75" s="335">
        <v>33331830</v>
      </c>
      <c r="E75" s="335">
        <v>32440603.979780994</v>
      </c>
    </row>
    <row r="76" spans="1:6">
      <c r="A76" s="1295" t="s">
        <v>65</v>
      </c>
      <c r="B76" s="1295" t="s">
        <v>727</v>
      </c>
      <c r="C76" s="1295" t="s">
        <v>730</v>
      </c>
      <c r="D76" s="335">
        <v>1658251.2916676835</v>
      </c>
      <c r="E76" s="335">
        <v>1605690.0850355516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575871.41666463274</v>
      </c>
      <c r="C83" s="335">
        <v>574704.25658088876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5305.0309999999999</v>
      </c>
    </row>
    <row r="92" spans="1:6">
      <c r="A92" s="1291" t="s">
        <v>69</v>
      </c>
      <c r="B92" s="338">
        <v>4110.7430000000004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3409</v>
      </c>
    </row>
    <row r="98" spans="1:6">
      <c r="A98" s="1295" t="s">
        <v>72</v>
      </c>
      <c r="B98" s="335">
        <v>2</v>
      </c>
    </row>
    <row r="99" spans="1:6">
      <c r="A99" s="1295" t="s">
        <v>73</v>
      </c>
      <c r="B99" s="335">
        <v>265</v>
      </c>
    </row>
    <row r="100" spans="1:6">
      <c r="A100" s="1295" t="s">
        <v>74</v>
      </c>
      <c r="B100" s="335">
        <v>1431</v>
      </c>
    </row>
    <row r="101" spans="1:6">
      <c r="A101" s="1295" t="s">
        <v>75</v>
      </c>
      <c r="B101" s="335">
        <v>184</v>
      </c>
    </row>
    <row r="102" spans="1:6">
      <c r="A102" s="1295" t="s">
        <v>76</v>
      </c>
      <c r="B102" s="335">
        <v>208</v>
      </c>
    </row>
    <row r="103" spans="1:6">
      <c r="A103" s="1295" t="s">
        <v>77</v>
      </c>
      <c r="B103" s="335">
        <v>358</v>
      </c>
    </row>
    <row r="104" spans="1:6">
      <c r="A104" s="1295" t="s">
        <v>78</v>
      </c>
      <c r="B104" s="335">
        <v>4923</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23</v>
      </c>
      <c r="C123" s="335">
        <v>31</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228</v>
      </c>
    </row>
    <row r="130" spans="1:6">
      <c r="A130" s="1295" t="s">
        <v>295</v>
      </c>
      <c r="B130" s="335">
        <v>0</v>
      </c>
    </row>
    <row r="131" spans="1:6">
      <c r="A131" s="1295" t="s">
        <v>296</v>
      </c>
      <c r="B131" s="335">
        <v>4</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204026.9448023476</v>
      </c>
      <c r="C3" s="43" t="s">
        <v>170</v>
      </c>
      <c r="D3" s="43"/>
      <c r="E3" s="156"/>
      <c r="F3" s="43"/>
      <c r="G3" s="43"/>
      <c r="H3" s="43"/>
      <c r="I3" s="43"/>
      <c r="J3" s="43"/>
      <c r="K3" s="96"/>
    </row>
    <row r="4" spans="1:11">
      <c r="A4" s="366" t="s">
        <v>171</v>
      </c>
      <c r="B4" s="49">
        <f>IF(ISERROR('SEAP template'!B78+'SEAP template'!C78),0,'SEAP template'!B78+'SEAP template'!C78)</f>
        <v>71875.024000000005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8846.4844669971535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0.18650506677526907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12640.111247288563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89243.57142857142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0.14163609820798609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2600.1410000000001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2600.1410000000001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0.18650506677526907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484.93947083011489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53072.389672171397</v>
      </c>
      <c r="C5" s="17">
        <f>IF(ISERROR('Eigen informatie GS &amp; warmtenet'!B57),0,'Eigen informatie GS &amp; warmtenet'!B57)</f>
        <v>0</v>
      </c>
      <c r="D5" s="30">
        <f>(SUM(HH_hh_gas_kWh,HH_rest_gas_kWh)/1000)*0.902</f>
        <v>99157.733760262476</v>
      </c>
      <c r="E5" s="17">
        <f>B46*B57</f>
        <v>10914.744594854517</v>
      </c>
      <c r="F5" s="17">
        <f>B51*B62</f>
        <v>50386.635717566285</v>
      </c>
      <c r="G5" s="18"/>
      <c r="H5" s="17"/>
      <c r="I5" s="17"/>
      <c r="J5" s="17">
        <f>B50*B61+C50*C61</f>
        <v>1318.131615387189</v>
      </c>
      <c r="K5" s="17"/>
      <c r="L5" s="17"/>
      <c r="M5" s="17"/>
      <c r="N5" s="17">
        <f>B48*B59+C48*C59</f>
        <v>28411.394716369974</v>
      </c>
      <c r="O5" s="17">
        <f>B69*B70*B71</f>
        <v>404.90333333333331</v>
      </c>
      <c r="P5" s="17">
        <f>B77*B78*B79/1000-B77*B78*B79/1000/B80</f>
        <v>667.33333333333337</v>
      </c>
    </row>
    <row r="6" spans="1:16">
      <c r="A6" s="16" t="s">
        <v>634</v>
      </c>
      <c r="B6" s="783">
        <f>kWh_PV_kleiner_dan_10kW</f>
        <v>5305.0309999999999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58377.4206721714</v>
      </c>
      <c r="C8" s="21">
        <f>C5</f>
        <v>0</v>
      </c>
      <c r="D8" s="21">
        <f>D5</f>
        <v>99157.733760262476</v>
      </c>
      <c r="E8" s="21">
        <f>E5</f>
        <v>10914.744594854517</v>
      </c>
      <c r="F8" s="21">
        <f>F5</f>
        <v>50386.635717566285</v>
      </c>
      <c r="G8" s="21"/>
      <c r="H8" s="21"/>
      <c r="I8" s="21"/>
      <c r="J8" s="21">
        <f>J5</f>
        <v>1318.131615387189</v>
      </c>
      <c r="K8" s="21"/>
      <c r="L8" s="21">
        <f>L5</f>
        <v>0</v>
      </c>
      <c r="M8" s="21">
        <f>M5</f>
        <v>0</v>
      </c>
      <c r="N8" s="21">
        <f>N5</f>
        <v>28411.394716369974</v>
      </c>
      <c r="O8" s="21">
        <f>O5</f>
        <v>404.90333333333331</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0.18650506677526907</v>
      </c>
      <c r="C10" s="25">
        <f ca="1">'EF ele_warmte'!B22</f>
        <v>0.14163609820798609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10887.684740631299</v>
      </c>
      <c r="C12" s="23">
        <f ca="1">C10*C8</f>
        <v>0</v>
      </c>
      <c r="D12" s="23">
        <f>D8*D10</f>
        <v>20029.86221957302</v>
      </c>
      <c r="E12" s="23">
        <f>E10*E8</f>
        <v>2477.6470230319756</v>
      </c>
      <c r="F12" s="23">
        <f>F10*F8</f>
        <v>13453.231736590198</v>
      </c>
      <c r="G12" s="23"/>
      <c r="H12" s="23"/>
      <c r="I12" s="23"/>
      <c r="J12" s="23">
        <f>J10*J8</f>
        <v>466.61859184706486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3409</v>
      </c>
      <c r="C18" s="168" t="s">
        <v>111</v>
      </c>
      <c r="D18" s="230"/>
      <c r="E18" s="15"/>
    </row>
    <row r="19" spans="1:7">
      <c r="A19" s="173" t="s">
        <v>72</v>
      </c>
      <c r="B19" s="37">
        <f>aantalw2001_ander</f>
        <v>2</v>
      </c>
      <c r="C19" s="168" t="s">
        <v>111</v>
      </c>
      <c r="D19" s="231"/>
      <c r="E19" s="15"/>
    </row>
    <row r="20" spans="1:7">
      <c r="A20" s="173" t="s">
        <v>73</v>
      </c>
      <c r="B20" s="37">
        <f>aantalw2001_propaan</f>
        <v>265</v>
      </c>
      <c r="C20" s="169">
        <f>IF(ISERROR(B20/SUM($B$20,$B$21,$B$22)*100),0,B20/SUM($B$20,$B$21,$B$22)*100)</f>
        <v>14.095744680851062</v>
      </c>
      <c r="D20" s="231"/>
      <c r="E20" s="15"/>
    </row>
    <row r="21" spans="1:7">
      <c r="A21" s="173" t="s">
        <v>74</v>
      </c>
      <c r="B21" s="37">
        <f>aantalw2001_elektriciteit</f>
        <v>1431</v>
      </c>
      <c r="C21" s="169">
        <f>IF(ISERROR(B21/SUM($B$20,$B$21,$B$22)*100),0,B21/SUM($B$20,$B$21,$B$22)*100)</f>
        <v>76.117021276595736</v>
      </c>
      <c r="D21" s="231"/>
      <c r="E21" s="15"/>
    </row>
    <row r="22" spans="1:7">
      <c r="A22" s="173" t="s">
        <v>75</v>
      </c>
      <c r="B22" s="37">
        <f>aantalw2001_hout</f>
        <v>184</v>
      </c>
      <c r="C22" s="169">
        <f>IF(ISERROR(B22/SUM($B$20,$B$21,$B$22)*100),0,B22/SUM($B$20,$B$21,$B$22)*100)</f>
        <v>9.787234042553191</v>
      </c>
      <c r="D22" s="231"/>
      <c r="E22" s="15"/>
    </row>
    <row r="23" spans="1:7">
      <c r="A23" s="173" t="s">
        <v>76</v>
      </c>
      <c r="B23" s="37">
        <f>aantalw2001_niet_gespec</f>
        <v>208</v>
      </c>
      <c r="C23" s="168" t="s">
        <v>111</v>
      </c>
      <c r="D23" s="230"/>
      <c r="E23" s="15"/>
    </row>
    <row r="24" spans="1:7">
      <c r="A24" s="173" t="s">
        <v>77</v>
      </c>
      <c r="B24" s="37">
        <f>aantalw2001_steenkool</f>
        <v>358</v>
      </c>
      <c r="C24" s="168" t="s">
        <v>111</v>
      </c>
      <c r="D24" s="231"/>
      <c r="E24" s="15"/>
    </row>
    <row r="25" spans="1:7">
      <c r="A25" s="173" t="s">
        <v>78</v>
      </c>
      <c r="B25" s="37">
        <f>aantalw2001_stookolie</f>
        <v>4923</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12441</v>
      </c>
      <c r="C28" s="36"/>
      <c r="D28" s="230"/>
    </row>
    <row r="29" spans="1:7" s="15" customFormat="1">
      <c r="A29" s="232" t="s">
        <v>746</v>
      </c>
      <c r="B29" s="37">
        <f>SUM(HH_hh_gas_aantal,HH_rest_gas_aantal)</f>
        <v>6665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6665</v>
      </c>
      <c r="C32" s="169">
        <f>IF(ISERROR(B32/SUM($B$32,$B$34,$B$35,$B$36,$B$38,$B$39)*100),0,B32/SUM($B$32,$B$34,$B$35,$B$36,$B$38,$B$39)*100)</f>
        <v>53.724004513944877</v>
      </c>
      <c r="D32" s="235"/>
      <c r="G32" s="15"/>
    </row>
    <row r="33" spans="1:7">
      <c r="A33" s="173" t="s">
        <v>72</v>
      </c>
      <c r="B33" s="34" t="s">
        <v>111</v>
      </c>
      <c r="C33" s="169"/>
      <c r="D33" s="235"/>
      <c r="G33" s="15"/>
    </row>
    <row r="34" spans="1:7">
      <c r="A34" s="173" t="s">
        <v>73</v>
      </c>
      <c r="B34" s="33">
        <f>IF((($B$28-$B$32-$B$39-$B$77-$B$38)*C20/100)&lt;0,0,($B$28-$B$32-$B$39-$B$77-$B$38)*C20/100)</f>
        <v>523.79787234042544</v>
      </c>
      <c r="C34" s="169">
        <f>IF(ISERROR(B34/SUM($B$32,$B$34,$B$35,$B$36,$B$38,$B$39)*100),0,B34/SUM($B$32,$B$34,$B$35,$B$36,$B$38,$B$39)*100)</f>
        <v>4.2221334220572748</v>
      </c>
      <c r="D34" s="235"/>
      <c r="G34" s="15"/>
    </row>
    <row r="35" spans="1:7">
      <c r="A35" s="173" t="s">
        <v>74</v>
      </c>
      <c r="B35" s="33">
        <f>IF((($B$28-$B$32-$B$39-$B$77-$B$38)*C21/100)&lt;0,0,($B$28-$B$32-$B$39-$B$77-$B$38)*C21/100)</f>
        <v>2828.5085106382971</v>
      </c>
      <c r="C35" s="169">
        <f>IF(ISERROR(B35/SUM($B$32,$B$34,$B$35,$B$36,$B$38,$B$39)*100),0,B35/SUM($B$32,$B$34,$B$35,$B$36,$B$38,$B$39)*100)</f>
        <v>22.79952047910928</v>
      </c>
      <c r="D35" s="235"/>
      <c r="G35" s="15"/>
    </row>
    <row r="36" spans="1:7">
      <c r="A36" s="173" t="s">
        <v>75</v>
      </c>
      <c r="B36" s="33">
        <f>IF((($B$28-$B$32-$B$39-$B$77-$B$38)*C22/100)&lt;0,0,($B$28-$B$32-$B$39-$B$77-$B$38)*C22/100)</f>
        <v>363.69361702127657</v>
      </c>
      <c r="C36" s="169">
        <f>IF(ISERROR(B36/SUM($B$32,$B$34,$B$35,$B$36,$B$38,$B$39)*100),0,B36/SUM($B$32,$B$34,$B$35,$B$36,$B$38,$B$39)*100)</f>
        <v>2.9315945270133534</v>
      </c>
      <c r="D36" s="235"/>
      <c r="G36" s="15"/>
    </row>
    <row r="37" spans="1:7">
      <c r="A37" s="173" t="s">
        <v>76</v>
      </c>
      <c r="B37" s="34" t="s">
        <v>111</v>
      </c>
      <c r="C37" s="169"/>
      <c r="D37" s="175"/>
      <c r="G37" s="15"/>
    </row>
    <row r="38" spans="1:7">
      <c r="A38" s="173" t="s">
        <v>77</v>
      </c>
      <c r="B38" s="33">
        <f>IF((B24-(B29-B18)*0.1)&lt;0,0,B24-(B29-B18)*0.1)</f>
        <v>32.399999999999977</v>
      </c>
      <c r="C38" s="169">
        <f>IF(ISERROR(B38/SUM($B$32,$B$34,$B$35,$B$36,$B$38,$B$39)*100),0,B38/SUM($B$32,$B$34,$B$35,$B$36,$B$38,$B$39)*100)</f>
        <v>0.26116395292600342</v>
      </c>
      <c r="D38" s="236"/>
      <c r="G38" s="15"/>
    </row>
    <row r="39" spans="1:7">
      <c r="A39" s="173" t="s">
        <v>78</v>
      </c>
      <c r="B39" s="33">
        <f>IF((B25-(B29-B18))&lt;0,0,B25-(B29-B18)*0.9)</f>
        <v>1992.6</v>
      </c>
      <c r="C39" s="169">
        <f>IF(ISERROR(B39/SUM($B$32,$B$34,$B$35,$B$36,$B$38,$B$39)*100),0,B39/SUM($B$32,$B$34,$B$35,$B$36,$B$38,$B$39)*100)</f>
        <v>16.061583104949221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6665</v>
      </c>
      <c r="C44" s="34" t="s">
        <v>111</v>
      </c>
      <c r="D44" s="176"/>
    </row>
    <row r="45" spans="1:7">
      <c r="A45" s="173" t="s">
        <v>72</v>
      </c>
      <c r="B45" s="33" t="str">
        <f t="shared" si="0"/>
        <v>-</v>
      </c>
      <c r="C45" s="34" t="s">
        <v>111</v>
      </c>
      <c r="D45" s="176"/>
    </row>
    <row r="46" spans="1:7">
      <c r="A46" s="173" t="s">
        <v>73</v>
      </c>
      <c r="B46" s="33">
        <f t="shared" si="0"/>
        <v>523.79787234042544</v>
      </c>
      <c r="C46" s="34" t="s">
        <v>111</v>
      </c>
      <c r="D46" s="176"/>
    </row>
    <row r="47" spans="1:7">
      <c r="A47" s="173" t="s">
        <v>74</v>
      </c>
      <c r="B47" s="33">
        <f t="shared" si="0"/>
        <v>2828.5085106382971</v>
      </c>
      <c r="C47" s="34" t="s">
        <v>111</v>
      </c>
      <c r="D47" s="176"/>
    </row>
    <row r="48" spans="1:7">
      <c r="A48" s="173" t="s">
        <v>75</v>
      </c>
      <c r="B48" s="33">
        <f t="shared" si="0"/>
        <v>363.69361702127657</v>
      </c>
      <c r="C48" s="33">
        <f>B48*10</f>
        <v>3636.9361702127658</v>
      </c>
      <c r="D48" s="236"/>
    </row>
    <row r="49" spans="1:6">
      <c r="A49" s="173" t="s">
        <v>76</v>
      </c>
      <c r="B49" s="33" t="str">
        <f t="shared" si="0"/>
        <v>-</v>
      </c>
      <c r="C49" s="34" t="s">
        <v>111</v>
      </c>
      <c r="D49" s="236"/>
    </row>
    <row r="50" spans="1:6">
      <c r="A50" s="173" t="s">
        <v>77</v>
      </c>
      <c r="B50" s="33">
        <f t="shared" si="0"/>
        <v>32.399999999999977</v>
      </c>
      <c r="C50" s="33">
        <f>B50*2</f>
        <v>64.799999999999955</v>
      </c>
      <c r="D50" s="236"/>
    </row>
    <row r="51" spans="1:6">
      <c r="A51" s="173" t="s">
        <v>78</v>
      </c>
      <c r="B51" s="33">
        <f t="shared" si="0"/>
        <v>1992.6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259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48034.366619172353</v>
      </c>
      <c r="C5" s="17">
        <f>IF(ISERROR('Eigen informatie GS &amp; warmtenet'!B58),0,'Eigen informatie GS &amp; warmtenet'!B58)</f>
        <v>0</v>
      </c>
      <c r="D5" s="30">
        <f>SUM(D6:D12)</f>
        <v>56795.613236908808</v>
      </c>
      <c r="E5" s="17">
        <f>SUM(E6:E12)</f>
        <v>622.11380776116596</v>
      </c>
      <c r="F5" s="17">
        <f>SUM(F6:F12)</f>
        <v>9367.9406664777707</v>
      </c>
      <c r="G5" s="18"/>
      <c r="H5" s="17"/>
      <c r="I5" s="17"/>
      <c r="J5" s="17">
        <f>SUM(J6:J12)</f>
        <v>0</v>
      </c>
      <c r="K5" s="17"/>
      <c r="L5" s="17"/>
      <c r="M5" s="17"/>
      <c r="N5" s="17">
        <f>SUM(N6:N12)</f>
        <v>3208.4377622764541</v>
      </c>
      <c r="O5" s="17">
        <f>B38*B39*B40</f>
        <v>0</v>
      </c>
      <c r="P5" s="17">
        <f>B46*B47*B48/1000-B46*B47*B48/1000/B49</f>
        <v>76.266666666666666</v>
      </c>
      <c r="R5" s="32"/>
    </row>
    <row r="6" spans="1:18">
      <c r="A6" s="32" t="s">
        <v>54</v>
      </c>
      <c r="B6" s="37">
        <f>B26</f>
        <v>8209.8187037709995</v>
      </c>
      <c r="C6" s="33"/>
      <c r="D6" s="37">
        <f>IF(ISERROR(TER_kantoor_gas_kWh/1000),0,TER_kantoor_gas_kWh/1000)*0.902</f>
        <v>13487.022109609836</v>
      </c>
      <c r="E6" s="33">
        <f>$C$26*'E Balans VL '!I12/100/3.6*1000000</f>
        <v>31.896883784041204</v>
      </c>
      <c r="F6" s="33">
        <f>$C$26*('E Balans VL '!L12+'E Balans VL '!N12)/100/3.6*1000000</f>
        <v>1248.6387214492361</v>
      </c>
      <c r="G6" s="34"/>
      <c r="H6" s="33"/>
      <c r="I6" s="33"/>
      <c r="J6" s="33">
        <f>$C$26*('E Balans VL '!D12+'E Balans VL '!E12)/100/3.6*1000000</f>
        <v>0</v>
      </c>
      <c r="K6" s="33"/>
      <c r="L6" s="33"/>
      <c r="M6" s="33"/>
      <c r="N6" s="33">
        <f>$C$26*'E Balans VL '!Y12/100/3.6*1000000</f>
        <v>4.5245936178376374</v>
      </c>
      <c r="O6" s="33"/>
      <c r="P6" s="33"/>
      <c r="R6" s="32"/>
    </row>
    <row r="7" spans="1:18">
      <c r="A7" s="32" t="s">
        <v>53</v>
      </c>
      <c r="B7" s="37">
        <f t="shared" ref="B7:B12" si="0">B27</f>
        <v>3967.2077940001</v>
      </c>
      <c r="C7" s="33"/>
      <c r="D7" s="37">
        <f>IF(ISERROR(TER_horeca_gas_kWh/1000),0,TER_horeca_gas_kWh/1000)*0.902</f>
        <v>3774.2086805405393</v>
      </c>
      <c r="E7" s="33">
        <f>$C$27*'E Balans VL '!I9/100/3.6*1000000</f>
        <v>223.4738756916577</v>
      </c>
      <c r="F7" s="33">
        <f>$C$27*('E Balans VL '!L9+'E Balans VL '!N9)/100/3.6*1000000</f>
        <v>1143.9052159075688</v>
      </c>
      <c r="G7" s="34"/>
      <c r="H7" s="33"/>
      <c r="I7" s="33"/>
      <c r="J7" s="33">
        <f>$C$27*('E Balans VL '!D9+'E Balans VL '!E9)/100/3.6*1000000</f>
        <v>0</v>
      </c>
      <c r="K7" s="33"/>
      <c r="L7" s="33"/>
      <c r="M7" s="33"/>
      <c r="N7" s="33">
        <f>$C$27*'E Balans VL '!Y9/100/3.6*1000000</f>
        <v>1.095325456372076</v>
      </c>
      <c r="O7" s="33"/>
      <c r="P7" s="33"/>
      <c r="R7" s="32"/>
    </row>
    <row r="8" spans="1:18">
      <c r="A8" s="6" t="s">
        <v>52</v>
      </c>
      <c r="B8" s="37">
        <f t="shared" si="0"/>
        <v>20726.601035327698</v>
      </c>
      <c r="C8" s="33"/>
      <c r="D8" s="37">
        <f>IF(ISERROR(TER_handel_gas_kWh/1000),0,TER_handel_gas_kWh/1000)*0.902</f>
        <v>12806.630361312242</v>
      </c>
      <c r="E8" s="33">
        <f>$C$28*'E Balans VL '!I13/100/3.6*1000000</f>
        <v>298.74063928141834</v>
      </c>
      <c r="F8" s="33">
        <f>$C$28*('E Balans VL '!L13+'E Balans VL '!N13)/100/3.6*1000000</f>
        <v>3600.6932898031682</v>
      </c>
      <c r="G8" s="34"/>
      <c r="H8" s="33"/>
      <c r="I8" s="33"/>
      <c r="J8" s="33">
        <f>$C$28*('E Balans VL '!D13+'E Balans VL '!E13)/100/3.6*1000000</f>
        <v>0</v>
      </c>
      <c r="K8" s="33"/>
      <c r="L8" s="33"/>
      <c r="M8" s="33"/>
      <c r="N8" s="33">
        <f>$C$28*'E Balans VL '!Y13/100/3.6*1000000</f>
        <v>62.09920403460044</v>
      </c>
      <c r="O8" s="33"/>
      <c r="P8" s="33"/>
      <c r="R8" s="32"/>
    </row>
    <row r="9" spans="1:18">
      <c r="A9" s="32" t="s">
        <v>51</v>
      </c>
      <c r="B9" s="37">
        <f t="shared" si="0"/>
        <v>6423.7980514836599</v>
      </c>
      <c r="C9" s="33"/>
      <c r="D9" s="37">
        <f>IF(ISERROR(TER_gezond_gas_kWh/1000),0,TER_gezond_gas_kWh/1000)*0.902</f>
        <v>9045.899315635128</v>
      </c>
      <c r="E9" s="33">
        <f>$C$29*'E Balans VL '!I10/100/3.6*1000000</f>
        <v>6.862281306294773</v>
      </c>
      <c r="F9" s="33">
        <f>$C$29*('E Balans VL '!L10+'E Balans VL '!N10)/100/3.6*1000000</f>
        <v>1047.9166887456927</v>
      </c>
      <c r="G9" s="34"/>
      <c r="H9" s="33"/>
      <c r="I9" s="33"/>
      <c r="J9" s="33">
        <f>$C$29*('E Balans VL '!D10+'E Balans VL '!E10)/100/3.6*1000000</f>
        <v>0</v>
      </c>
      <c r="K9" s="33"/>
      <c r="L9" s="33"/>
      <c r="M9" s="33"/>
      <c r="N9" s="33">
        <f>$C$29*'E Balans VL '!Y10/100/3.6*1000000</f>
        <v>66.129335593980883</v>
      </c>
      <c r="O9" s="33"/>
      <c r="P9" s="33"/>
      <c r="R9" s="32"/>
    </row>
    <row r="10" spans="1:18">
      <c r="A10" s="32" t="s">
        <v>50</v>
      </c>
      <c r="B10" s="37">
        <f t="shared" si="0"/>
        <v>4027.4050409534498</v>
      </c>
      <c r="C10" s="33"/>
      <c r="D10" s="37">
        <f>IF(ISERROR(TER_ander_gas_kWh/1000),0,TER_ander_gas_kWh/1000)*0.902</f>
        <v>8868.5244764005201</v>
      </c>
      <c r="E10" s="33">
        <f>$C$30*'E Balans VL '!I14/100/3.6*1000000</f>
        <v>18.521423169561643</v>
      </c>
      <c r="F10" s="33">
        <f>$C$30*('E Balans VL '!L14+'E Balans VL '!N14)/100/3.6*1000000</f>
        <v>1207.1403265464996</v>
      </c>
      <c r="G10" s="34"/>
      <c r="H10" s="33"/>
      <c r="I10" s="33"/>
      <c r="J10" s="33">
        <f>$C$30*('E Balans VL '!D14+'E Balans VL '!E14)/100/3.6*1000000</f>
        <v>0</v>
      </c>
      <c r="K10" s="33"/>
      <c r="L10" s="33"/>
      <c r="M10" s="33"/>
      <c r="N10" s="33">
        <f>$C$30*'E Balans VL '!Y14/100/3.6*1000000</f>
        <v>2803.3397606061631</v>
      </c>
      <c r="O10" s="33"/>
      <c r="P10" s="33"/>
      <c r="R10" s="32"/>
    </row>
    <row r="11" spans="1:18">
      <c r="A11" s="32" t="s">
        <v>55</v>
      </c>
      <c r="B11" s="37">
        <f t="shared" si="0"/>
        <v>1262.44448172647</v>
      </c>
      <c r="C11" s="33"/>
      <c r="D11" s="37">
        <f>IF(ISERROR(TER_onderwijs_gas_kWh/1000),0,TER_onderwijs_gas_kWh/1000)*0.902</f>
        <v>1824.7961759000343</v>
      </c>
      <c r="E11" s="33">
        <f>$C$31*'E Balans VL '!I11/100/3.6*1000000</f>
        <v>1.1710832793326678</v>
      </c>
      <c r="F11" s="33">
        <f>$C$31*('E Balans VL '!L11+'E Balans VL '!N11)/100/3.6*1000000</f>
        <v>443.46773123017937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3417.09151190998</v>
      </c>
      <c r="C12" s="33"/>
      <c r="D12" s="37">
        <f>IF(ISERROR(TER_rest_gas_kWh/1000),0,TER_rest_gas_kWh/1000)*0.902</f>
        <v>6988.5321175105109</v>
      </c>
      <c r="E12" s="33">
        <f>$C$32*'E Balans VL '!I8/100/3.6*1000000</f>
        <v>41.447621248859456</v>
      </c>
      <c r="F12" s="33">
        <f>$C$32*('E Balans VL '!L8+'E Balans VL '!N8)/100/3.6*1000000</f>
        <v>676.17869279542492</v>
      </c>
      <c r="G12" s="34"/>
      <c r="H12" s="33"/>
      <c r="I12" s="33"/>
      <c r="J12" s="33">
        <f>$C$32*('E Balans VL '!D8+'E Balans VL '!E8)/100/3.6*1000000</f>
        <v>0</v>
      </c>
      <c r="K12" s="33"/>
      <c r="L12" s="33"/>
      <c r="M12" s="33"/>
      <c r="N12" s="33">
        <f>$C$32*'E Balans VL '!Y8/100/3.6*1000000</f>
        <v>271.24954296750013</v>
      </c>
      <c r="O12" s="33"/>
      <c r="P12" s="33"/>
      <c r="R12" s="32"/>
    </row>
    <row r="13" spans="1:18">
      <c r="A13" s="16" t="s">
        <v>497</v>
      </c>
      <c r="B13" s="249">
        <f ca="1">'lokale energieproductie'!N91+'lokale energieproductie'!N60</f>
        <v>4.5</v>
      </c>
      <c r="C13" s="249">
        <f ca="1">'lokale energieproductie'!O91+'lokale energieproductie'!O60</f>
        <v>22.5</v>
      </c>
      <c r="D13" s="312">
        <f ca="1">('lokale energieproductie'!P60+'lokale energieproductie'!P91)*(-1)</f>
        <v>-30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48038.866619172353</v>
      </c>
      <c r="C16" s="21">
        <f t="shared" ca="1" si="1"/>
        <v>22.5</v>
      </c>
      <c r="D16" s="21">
        <f t="shared" ca="1" si="1"/>
        <v>56765.613236908808</v>
      </c>
      <c r="E16" s="21">
        <f t="shared" si="1"/>
        <v>622.11380776116596</v>
      </c>
      <c r="F16" s="21">
        <f t="shared" ca="1" si="1"/>
        <v>9367.9406664777707</v>
      </c>
      <c r="G16" s="21">
        <f t="shared" si="1"/>
        <v>0</v>
      </c>
      <c r="H16" s="21">
        <f t="shared" si="1"/>
        <v>0</v>
      </c>
      <c r="I16" s="21">
        <f t="shared" si="1"/>
        <v>0</v>
      </c>
      <c r="J16" s="21">
        <f t="shared" si="1"/>
        <v>0</v>
      </c>
      <c r="K16" s="21">
        <f t="shared" si="1"/>
        <v>0</v>
      </c>
      <c r="L16" s="21">
        <f t="shared" ca="1" si="1"/>
        <v>0</v>
      </c>
      <c r="M16" s="21">
        <f t="shared" si="1"/>
        <v>0</v>
      </c>
      <c r="N16" s="21">
        <f t="shared" ca="1" si="1"/>
        <v>3208.4377622764541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0.18650506677526907</v>
      </c>
      <c r="C18" s="25">
        <f ca="1">'EF ele_warmte'!B22</f>
        <v>0.14163609820798609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8959.4920266169847</v>
      </c>
      <c r="C20" s="23">
        <f t="shared" ref="C20:P20" ca="1" si="2">C16*C18</f>
        <v>3.1868122096796871</v>
      </c>
      <c r="D20" s="23">
        <f t="shared" ca="1" si="2"/>
        <v>11466.653873855579</v>
      </c>
      <c r="E20" s="23">
        <f t="shared" si="2"/>
        <v>141.21983436178468</v>
      </c>
      <c r="F20" s="23">
        <f t="shared" ca="1" si="2"/>
        <v>2501.2401579495649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8209.8187037709995</v>
      </c>
      <c r="C26" s="39">
        <f>IF(ISERROR(B26*3.6/1000000/'E Balans VL '!Z12*100),0,B26*3.6/1000000/'E Balans VL '!Z12*100)</f>
        <v>0.1743806158836291</v>
      </c>
      <c r="D26" s="239" t="s">
        <v>692</v>
      </c>
      <c r="F26" s="6"/>
    </row>
    <row r="27" spans="1:18">
      <c r="A27" s="233" t="s">
        <v>53</v>
      </c>
      <c r="B27" s="33">
        <f>IF(ISERROR(TER_horeca_ele_kWh/1000),0,TER_horeca_ele_kWh/1000)</f>
        <v>3967.2077940001</v>
      </c>
      <c r="C27" s="39">
        <f>IF(ISERROR(B27*3.6/1000000/'E Balans VL '!Z9*100),0,B27*3.6/1000000/'E Balans VL '!Z9*100)</f>
        <v>0.30847456658958888</v>
      </c>
      <c r="D27" s="239" t="s">
        <v>692</v>
      </c>
      <c r="F27" s="6"/>
    </row>
    <row r="28" spans="1:18">
      <c r="A28" s="173" t="s">
        <v>52</v>
      </c>
      <c r="B28" s="33">
        <f>IF(ISERROR(TER_handel_ele_kWh/1000),0,TER_handel_ele_kWh/1000)</f>
        <v>20726.601035327698</v>
      </c>
      <c r="C28" s="39">
        <f>IF(ISERROR(B28*3.6/1000000/'E Balans VL '!Z13*100),0,B28*3.6/1000000/'E Balans VL '!Z13*100)</f>
        <v>0.59301244839001133</v>
      </c>
      <c r="D28" s="239" t="s">
        <v>692</v>
      </c>
      <c r="F28" s="6"/>
    </row>
    <row r="29" spans="1:18">
      <c r="A29" s="233" t="s">
        <v>51</v>
      </c>
      <c r="B29" s="33">
        <f>IF(ISERROR(TER_gezond_ele_kWh/1000),0,TER_gezond_ele_kWh/1000)</f>
        <v>6423.7980514836599</v>
      </c>
      <c r="C29" s="39">
        <f>IF(ISERROR(B29*3.6/1000000/'E Balans VL '!Z10*100),0,B29*3.6/1000000/'E Balans VL '!Z10*100)</f>
        <v>0.70034325877607218</v>
      </c>
      <c r="D29" s="239" t="s">
        <v>692</v>
      </c>
      <c r="F29" s="6"/>
    </row>
    <row r="30" spans="1:18">
      <c r="A30" s="233" t="s">
        <v>50</v>
      </c>
      <c r="B30" s="33">
        <f>IF(ISERROR(TER_ander_ele_kWh/1000),0,TER_ander_ele_kWh/1000)</f>
        <v>4027.4050409534498</v>
      </c>
      <c r="C30" s="39">
        <f>IF(ISERROR(B30*3.6/1000000/'E Balans VL '!Z14*100),0,B30*3.6/1000000/'E Balans VL '!Z14*100)</f>
        <v>0.29471636494520992</v>
      </c>
      <c r="D30" s="239" t="s">
        <v>692</v>
      </c>
      <c r="F30" s="6"/>
    </row>
    <row r="31" spans="1:18">
      <c r="A31" s="233" t="s">
        <v>55</v>
      </c>
      <c r="B31" s="33">
        <f>IF(ISERROR(TER_onderwijs_ele_kWh/1000),0,TER_onderwijs_ele_kWh/1000)</f>
        <v>1262.44448172647</v>
      </c>
      <c r="C31" s="39">
        <f>IF(ISERROR(B31*3.6/1000000/'E Balans VL '!Z11*100),0,B31*3.6/1000000/'E Balans VL '!Z11*100)</f>
        <v>0.25356291162018313</v>
      </c>
      <c r="D31" s="239" t="s">
        <v>692</v>
      </c>
    </row>
    <row r="32" spans="1:18">
      <c r="A32" s="233" t="s">
        <v>260</v>
      </c>
      <c r="B32" s="33">
        <f>IF(ISERROR(TER_rest_ele_kWh/1000),0,TER_rest_ele_kWh/1000)</f>
        <v>3417.09151190998</v>
      </c>
      <c r="C32" s="39">
        <f>IF(ISERROR(B32*3.6/1000000/'E Balans VL '!Z8*100),0,B32*3.6/1000000/'E Balans VL '!Z8*100)</f>
        <v>2.7847222094592176E-2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88471.032375110051</v>
      </c>
      <c r="C5" s="17">
        <f>IF(ISERROR('Eigen informatie GS &amp; warmtenet'!B59),0,'Eigen informatie GS &amp; warmtenet'!B59)</f>
        <v>0</v>
      </c>
      <c r="D5" s="30">
        <f>SUM(D6:D15)</f>
        <v>84537.643793547875</v>
      </c>
      <c r="E5" s="17">
        <f>SUM(E6:E15)</f>
        <v>8774.9017448113354</v>
      </c>
      <c r="F5" s="17">
        <f>SUM(F6:F15)</f>
        <v>77740.595984318439</v>
      </c>
      <c r="G5" s="18"/>
      <c r="H5" s="17"/>
      <c r="I5" s="17"/>
      <c r="J5" s="17">
        <f>SUM(J6:J15)</f>
        <v>55.607334921602579</v>
      </c>
      <c r="K5" s="17"/>
      <c r="L5" s="17"/>
      <c r="M5" s="17"/>
      <c r="N5" s="17">
        <f>SUM(N6:N15)</f>
        <v>22410.424912126364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3440.1872435146001</v>
      </c>
      <c r="C8" s="33"/>
      <c r="D8" s="37">
        <f>IF( ISERROR(IND_metaal_Gas_kWH/1000),0,IND_metaal_Gas_kWH/1000)*0.902</f>
        <v>678.8131311616155</v>
      </c>
      <c r="E8" s="33">
        <f>C30*'E Balans VL '!I18/100/3.6*1000000</f>
        <v>98.815090512518097</v>
      </c>
      <c r="F8" s="33">
        <f>C30*'E Balans VL '!L18/100/3.6*1000000+C30*'E Balans VL '!N18/100/3.6*1000000</f>
        <v>882.34186365224423</v>
      </c>
      <c r="G8" s="34"/>
      <c r="H8" s="33"/>
      <c r="I8" s="33"/>
      <c r="J8" s="40">
        <f>C30*'E Balans VL '!D18/100/3.6*1000000+C30*'E Balans VL '!E18/100/3.6*1000000</f>
        <v>0</v>
      </c>
      <c r="K8" s="33"/>
      <c r="L8" s="33"/>
      <c r="M8" s="33"/>
      <c r="N8" s="33">
        <f>C30*'E Balans VL '!Y18/100/3.6*1000000</f>
        <v>93.40810607850544</v>
      </c>
      <c r="O8" s="33"/>
      <c r="P8" s="33"/>
      <c r="R8" s="32"/>
    </row>
    <row r="9" spans="1:18">
      <c r="A9" s="6" t="s">
        <v>33</v>
      </c>
      <c r="B9" s="37">
        <f t="shared" si="0"/>
        <v>16477.514932023401</v>
      </c>
      <c r="C9" s="33"/>
      <c r="D9" s="37">
        <f>IF( ISERROR(IND_andere_gas_kWh/1000),0,IND_andere_gas_kWh/1000)*0.902</f>
        <v>2983.8000298754414</v>
      </c>
      <c r="E9" s="33">
        <f>C31*'E Balans VL '!I19/100/3.6*1000000</f>
        <v>4460.0581587726547</v>
      </c>
      <c r="F9" s="33">
        <f>C31*'E Balans VL '!L19/100/3.6*1000000+C31*'E Balans VL '!N19/100/3.6*1000000</f>
        <v>10975.768630046256</v>
      </c>
      <c r="G9" s="34"/>
      <c r="H9" s="33"/>
      <c r="I9" s="33"/>
      <c r="J9" s="40">
        <f>C31*'E Balans VL '!D19/100/3.6*1000000+C31*'E Balans VL '!E19/100/3.6*1000000</f>
        <v>0</v>
      </c>
      <c r="K9" s="33"/>
      <c r="L9" s="33"/>
      <c r="M9" s="33"/>
      <c r="N9" s="33">
        <f>C31*'E Balans VL '!Y19/100/3.6*1000000</f>
        <v>5379.6349103496077</v>
      </c>
      <c r="O9" s="33"/>
      <c r="P9" s="33"/>
      <c r="R9" s="32"/>
    </row>
    <row r="10" spans="1:18">
      <c r="A10" s="6" t="s">
        <v>41</v>
      </c>
      <c r="B10" s="37">
        <f t="shared" si="0"/>
        <v>40782.114432905699</v>
      </c>
      <c r="C10" s="33"/>
      <c r="D10" s="37">
        <f>IF( ISERROR(IND_voed_gas_kWh/1000),0,IND_voed_gas_kWh/1000)*0.902</f>
        <v>6783.8726959353298</v>
      </c>
      <c r="E10" s="33">
        <f>C32*'E Balans VL '!I20/100/3.6*1000000</f>
        <v>3326.2829476176416</v>
      </c>
      <c r="F10" s="33">
        <f>C32*'E Balans VL '!L20/100/3.6*1000000+C32*'E Balans VL '!N20/100/3.6*1000000</f>
        <v>60809.832697089339</v>
      </c>
      <c r="G10" s="34"/>
      <c r="H10" s="33"/>
      <c r="I10" s="33"/>
      <c r="J10" s="40">
        <f>C32*'E Balans VL '!D20/100/3.6*1000000+C32*'E Balans VL '!E20/100/3.6*1000000</f>
        <v>0.53949787110125802</v>
      </c>
      <c r="K10" s="33"/>
      <c r="L10" s="33"/>
      <c r="M10" s="33"/>
      <c r="N10" s="33">
        <f>C32*'E Balans VL '!Y20/100/3.6*1000000</f>
        <v>11980.346174738572</v>
      </c>
      <c r="O10" s="33"/>
      <c r="P10" s="33"/>
      <c r="R10" s="32"/>
    </row>
    <row r="11" spans="1:18">
      <c r="A11" s="6" t="s">
        <v>40</v>
      </c>
      <c r="B11" s="37">
        <f t="shared" si="0"/>
        <v>8670.5698007893807</v>
      </c>
      <c r="C11" s="33"/>
      <c r="D11" s="37">
        <f>IF( ISERROR(IND_textiel_gas_kWh/1000),0,IND_textiel_gas_kWh/1000)*0.902</f>
        <v>19696.973752274989</v>
      </c>
      <c r="E11" s="33">
        <f>C33*'E Balans VL '!I21/100/3.6*1000000</f>
        <v>1.7186843318579186</v>
      </c>
      <c r="F11" s="33">
        <f>C33*'E Balans VL '!L21/100/3.6*1000000+C33*'E Balans VL '!N21/100/3.6*1000000</f>
        <v>319.34754683893254</v>
      </c>
      <c r="G11" s="34"/>
      <c r="H11" s="33"/>
      <c r="I11" s="33"/>
      <c r="J11" s="40">
        <f>C33*'E Balans VL '!D21/100/3.6*1000000+C33*'E Balans VL '!E21/100/3.6*1000000</f>
        <v>0</v>
      </c>
      <c r="K11" s="33"/>
      <c r="L11" s="33"/>
      <c r="M11" s="33"/>
      <c r="N11" s="33">
        <f>C33*'E Balans VL '!Y21/100/3.6*1000000</f>
        <v>40.315960759018488</v>
      </c>
      <c r="O11" s="33"/>
      <c r="P11" s="33"/>
      <c r="R11" s="32"/>
    </row>
    <row r="12" spans="1:18">
      <c r="A12" s="6" t="s">
        <v>37</v>
      </c>
      <c r="B12" s="37">
        <f t="shared" si="0"/>
        <v>2858.4413475827796</v>
      </c>
      <c r="C12" s="33"/>
      <c r="D12" s="37">
        <f>IF( ISERROR(IND_min_gas_kWh/1000),0,IND_min_gas_kWh/1000)*0.902</f>
        <v>112.42068662456808</v>
      </c>
      <c r="E12" s="33">
        <f>C34*'E Balans VL '!I22/100/3.6*1000000</f>
        <v>22.266635269811218</v>
      </c>
      <c r="F12" s="33">
        <f>C34*'E Balans VL '!L22/100/3.6*1000000+C34*'E Balans VL '!N22/100/3.6*1000000</f>
        <v>1078.0284197224692</v>
      </c>
      <c r="G12" s="34"/>
      <c r="H12" s="33"/>
      <c r="I12" s="33"/>
      <c r="J12" s="40">
        <f>C34*'E Balans VL '!D22/100/3.6*1000000+C34*'E Balans VL '!E22/100/3.6*1000000</f>
        <v>15.721177489810369</v>
      </c>
      <c r="K12" s="33"/>
      <c r="L12" s="33"/>
      <c r="M12" s="33"/>
      <c r="N12" s="33">
        <f>C34*'E Balans VL '!Y22/100/3.6*1000000</f>
        <v>0</v>
      </c>
      <c r="O12" s="33"/>
      <c r="P12" s="33"/>
      <c r="R12" s="32"/>
    </row>
    <row r="13" spans="1:18">
      <c r="A13" s="6" t="s">
        <v>39</v>
      </c>
      <c r="B13" s="37">
        <f t="shared" si="0"/>
        <v>890.78278151289499</v>
      </c>
      <c r="C13" s="33"/>
      <c r="D13" s="37">
        <f>IF( ISERROR(IND_papier_gas_kWh/1000),0,IND_papier_gas_kWh/1000)*0.902</f>
        <v>412.41868154182765</v>
      </c>
      <c r="E13" s="33">
        <f>C35*'E Balans VL '!I23/100/3.6*1000000</f>
        <v>9.3325724445275711</v>
      </c>
      <c r="F13" s="33">
        <f>C35*'E Balans VL '!L23/100/3.6*1000000+C35*'E Balans VL '!N23/100/3.6*1000000</f>
        <v>66.470369044206521</v>
      </c>
      <c r="G13" s="34"/>
      <c r="H13" s="33"/>
      <c r="I13" s="33"/>
      <c r="J13" s="40">
        <f>C35*'E Balans VL '!D23/100/3.6*1000000+C35*'E Balans VL '!E23/100/3.6*1000000</f>
        <v>0</v>
      </c>
      <c r="K13" s="33"/>
      <c r="L13" s="33"/>
      <c r="M13" s="33"/>
      <c r="N13" s="33">
        <f>C35*'E Balans VL '!Y23/100/3.6*1000000</f>
        <v>1903.9552184020902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15351.421836781301</v>
      </c>
      <c r="C15" s="33"/>
      <c r="D15" s="37">
        <f>IF( ISERROR(IND_rest_gas_kWh/1000),0,IND_rest_gas_kWh/1000)*0.902</f>
        <v>53869.3448161341</v>
      </c>
      <c r="E15" s="33">
        <f>C37*'E Balans VL '!I15/100/3.6*1000000</f>
        <v>856.42765586232395</v>
      </c>
      <c r="F15" s="33">
        <f>C37*'E Balans VL '!L15/100/3.6*1000000+C37*'E Balans VL '!N15/100/3.6*1000000</f>
        <v>3608.8064579249863</v>
      </c>
      <c r="G15" s="34"/>
      <c r="H15" s="33"/>
      <c r="I15" s="33"/>
      <c r="J15" s="40">
        <f>C37*'E Balans VL '!D15/100/3.6*1000000+C37*'E Balans VL '!E15/100/3.6*1000000</f>
        <v>39.346659560690952</v>
      </c>
      <c r="K15" s="33"/>
      <c r="L15" s="33"/>
      <c r="M15" s="33"/>
      <c r="N15" s="33">
        <f>C37*'E Balans VL '!Y15/100/3.6*1000000</f>
        <v>3012.7645417985714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88471.032375110051</v>
      </c>
      <c r="C18" s="21">
        <f>C5+C16</f>
        <v>0</v>
      </c>
      <c r="D18" s="21">
        <f>MAX((D5+D16),0)</f>
        <v>84537.643793547875</v>
      </c>
      <c r="E18" s="21">
        <f>MAX((E5+E16),0)</f>
        <v>8774.9017448113354</v>
      </c>
      <c r="F18" s="21">
        <f>MAX((F5+F16),0)</f>
        <v>77740.595984318439</v>
      </c>
      <c r="G18" s="21"/>
      <c r="H18" s="21"/>
      <c r="I18" s="21"/>
      <c r="J18" s="21">
        <f>MAX((J5+J16),0)</f>
        <v>55.607334921602579</v>
      </c>
      <c r="K18" s="21"/>
      <c r="L18" s="21">
        <f>MAX((L5+L16),0)</f>
        <v>0</v>
      </c>
      <c r="M18" s="21"/>
      <c r="N18" s="21">
        <f>MAX((N5+N16),0)</f>
        <v>22410.424912126364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0.18650506677526907</v>
      </c>
      <c r="C20" s="25">
        <f ca="1">'EF ele_warmte'!B22</f>
        <v>0.14163609820798609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16500.295800796892</v>
      </c>
      <c r="C22" s="23">
        <f ca="1">C18*C20</f>
        <v>0</v>
      </c>
      <c r="D22" s="23">
        <f>D18*D20</f>
        <v>17076.60404629667</v>
      </c>
      <c r="E22" s="23">
        <f>E18*E20</f>
        <v>1991.9026960721733</v>
      </c>
      <c r="F22" s="23">
        <f>F18*F20</f>
        <v>20756.739127813024</v>
      </c>
      <c r="G22" s="23"/>
      <c r="H22" s="23"/>
      <c r="I22" s="23"/>
      <c r="J22" s="23">
        <f>J18*J20</f>
        <v>19.684996562247314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3440.1872435146001</v>
      </c>
      <c r="C30" s="39">
        <f>IF(ISERROR(B30*3.6/1000000/'E Balans VL '!Z18*100),0,B30*3.6/1000000/'E Balans VL '!Z18*100)</f>
        <v>0.3385056428992923</v>
      </c>
      <c r="D30" s="239" t="s">
        <v>692</v>
      </c>
    </row>
    <row r="31" spans="1:18">
      <c r="A31" s="6" t="s">
        <v>33</v>
      </c>
      <c r="B31" s="37">
        <f>IF( ISERROR(IND_ander_ele_kWh/1000),0,IND_ander_ele_kWh/1000)</f>
        <v>16477.514932023401</v>
      </c>
      <c r="C31" s="39">
        <f>IF(ISERROR(B31*3.6/1000000/'E Balans VL '!Z19*100),0,B31*3.6/1000000/'E Balans VL '!Z19*100)</f>
        <v>0.71758263130543465</v>
      </c>
      <c r="D31" s="239" t="s">
        <v>692</v>
      </c>
    </row>
    <row r="32" spans="1:18">
      <c r="A32" s="173" t="s">
        <v>41</v>
      </c>
      <c r="B32" s="37">
        <f>IF( ISERROR(IND_voed_ele_kWh/1000),0,IND_voed_ele_kWh/1000)</f>
        <v>40782.114432905699</v>
      </c>
      <c r="C32" s="39">
        <f>IF(ISERROR(B32*3.6/1000000/'E Balans VL '!Z20*100),0,B32*3.6/1000000/'E Balans VL '!Z20*100)</f>
        <v>7.7378180715715228</v>
      </c>
      <c r="D32" s="239" t="s">
        <v>692</v>
      </c>
    </row>
    <row r="33" spans="1:5">
      <c r="A33" s="173" t="s">
        <v>40</v>
      </c>
      <c r="B33" s="37">
        <f>IF( ISERROR(IND_textiel_ele_kWh/1000),0,IND_textiel_ele_kWh/1000)</f>
        <v>8670.5698007893807</v>
      </c>
      <c r="C33" s="39">
        <f>IF(ISERROR(B33*3.6/1000000/'E Balans VL '!Z21*100),0,B33*3.6/1000000/'E Balans VL '!Z21*100)</f>
        <v>0.49504556495145152</v>
      </c>
      <c r="D33" s="239" t="s">
        <v>692</v>
      </c>
    </row>
    <row r="34" spans="1:5">
      <c r="A34" s="173" t="s">
        <v>37</v>
      </c>
      <c r="B34" s="37">
        <f>IF( ISERROR(IND_min_ele_kWh/1000),0,IND_min_ele_kWh/1000)</f>
        <v>2858.4413475827796</v>
      </c>
      <c r="C34" s="39">
        <f>IF(ISERROR(B34*3.6/1000000/'E Balans VL '!Z22*100),0,B34*3.6/1000000/'E Balans VL '!Z22*100)</f>
        <v>0.40192555704347144</v>
      </c>
      <c r="D34" s="239" t="s">
        <v>692</v>
      </c>
    </row>
    <row r="35" spans="1:5">
      <c r="A35" s="173" t="s">
        <v>39</v>
      </c>
      <c r="B35" s="37">
        <f>IF( ISERROR(IND_papier_ele_kWh/1000),0,IND_papier_ele_kWh/1000)</f>
        <v>890.78278151289499</v>
      </c>
      <c r="C35" s="39">
        <f>IF(ISERROR(B35*3.6/1000000/'E Balans VL '!Z22*100),0,B35*3.6/1000000/'E Balans VL '!Z22*100)</f>
        <v>0.12525300404259385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15351.421836781301</v>
      </c>
      <c r="C37" s="39">
        <f>IF(ISERROR(B37*3.6/1000000/'E Balans VL '!Z15*100),0,B37*3.6/1000000/'E Balans VL '!Z15*100)</f>
        <v>0.11830156068505843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4464.8861399216366</v>
      </c>
      <c r="C5" s="17">
        <f>'Eigen informatie GS &amp; warmtenet'!B60</f>
        <v>0</v>
      </c>
      <c r="D5" s="30">
        <f>IF(ISERROR(SUM(LB_lb_gas_kWh,LB_rest_gas_kWh)/1000),0,SUM(LB_lb_gas_kWh,LB_rest_gas_kWh)/1000)*0.902</f>
        <v>26054.436977263354</v>
      </c>
      <c r="E5" s="17">
        <f>B17*'E Balans VL '!I25/3.6*1000000/100</f>
        <v>56.263317305849171</v>
      </c>
      <c r="F5" s="17">
        <f>B17*('E Balans VL '!L25/3.6*1000000+'E Balans VL '!N25/3.6*1000000)/100</f>
        <v>15404.975703542057</v>
      </c>
      <c r="G5" s="18"/>
      <c r="H5" s="17"/>
      <c r="I5" s="17"/>
      <c r="J5" s="17">
        <f>('E Balans VL '!D25+'E Balans VL '!E25)/3.6*1000000*landbouw!B17/100</f>
        <v>671.46812040988743</v>
      </c>
      <c r="K5" s="17"/>
      <c r="L5" s="17">
        <f>L6*(-1)</f>
        <v>0</v>
      </c>
      <c r="M5" s="17"/>
      <c r="N5" s="17">
        <f>N6*(-1)</f>
        <v>72102.857142857145</v>
      </c>
      <c r="O5" s="17"/>
      <c r="P5" s="17"/>
      <c r="R5" s="32"/>
    </row>
    <row r="6" spans="1:18">
      <c r="A6" s="16" t="s">
        <v>497</v>
      </c>
      <c r="B6" s="17" t="s">
        <v>211</v>
      </c>
      <c r="C6" s="17">
        <f>'lokale energieproductie'!O92+'lokale energieproductie'!O61</f>
        <v>89221.07142857142</v>
      </c>
      <c r="D6" s="312">
        <f>('lokale energieproductie'!P61+'lokale energieproductie'!P92)*(-1)</f>
        <v>-106339.28571428571</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-72102.857142857145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4464.8861399216366</v>
      </c>
      <c r="C8" s="21">
        <f>C5+C6</f>
        <v>89221.07142857142</v>
      </c>
      <c r="D8" s="21">
        <f>MAX((D5+D6),0)</f>
        <v>0</v>
      </c>
      <c r="E8" s="21">
        <f>MAX((E5+E6),0)</f>
        <v>56.263317305849171</v>
      </c>
      <c r="F8" s="21">
        <f>MAX((F5+F6),0)</f>
        <v>15404.975703542057</v>
      </c>
      <c r="G8" s="21"/>
      <c r="H8" s="21"/>
      <c r="I8" s="21"/>
      <c r="J8" s="21">
        <f>MAX((J5+J6),0)</f>
        <v>671.46812040988743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0.18650506677526907</v>
      </c>
      <c r="C10" s="31">
        <f ca="1">'EF ele_warmte'!B22</f>
        <v>0.14163609820798609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832.72388767005816</v>
      </c>
      <c r="C12" s="23">
        <f ca="1">C8*C10</f>
        <v>12636.924435078883</v>
      </c>
      <c r="D12" s="23">
        <f>D8*D10</f>
        <v>0</v>
      </c>
      <c r="E12" s="23">
        <f>E8*E10</f>
        <v>12.771773028427763</v>
      </c>
      <c r="F12" s="23">
        <f>F8*F10</f>
        <v>4113.1285128457293</v>
      </c>
      <c r="G12" s="23"/>
      <c r="H12" s="23"/>
      <c r="I12" s="23"/>
      <c r="J12" s="23">
        <f>J8*J10</f>
        <v>237.69971462510014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0.62271089147650605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829.33475519705678</v>
      </c>
      <c r="C26" s="249">
        <f>B26*'GWP N2O_CH4'!B5</f>
        <v>17416.029859138191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349.69499711031131</v>
      </c>
      <c r="C27" s="249">
        <f>B27*'GWP N2O_CH4'!B5</f>
        <v>7343.5949393165374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11.499228652955871</v>
      </c>
      <c r="C28" s="249">
        <f>B28*'GWP N2O_CH4'!B4</f>
        <v>3564.7608824163199</v>
      </c>
      <c r="D28" s="50"/>
    </row>
    <row r="29" spans="1:4">
      <c r="A29" s="41" t="s">
        <v>277</v>
      </c>
      <c r="B29" s="249">
        <f>B34*'ha_N2O bodem landbouw'!B4</f>
        <v>27.614909585725471</v>
      </c>
      <c r="C29" s="249">
        <f>B29*'GWP N2O_CH4'!B4</f>
        <v>8560.6219715748957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6.8951669876776405E-3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3.1727171332296552E-5</v>
      </c>
      <c r="C5" s="448" t="s">
        <v>211</v>
      </c>
      <c r="D5" s="433">
        <f>SUM(D6:D11)</f>
        <v>5.218370590865763E-5</v>
      </c>
      <c r="E5" s="433">
        <f>SUM(E6:E11)</f>
        <v>1.5979388017953202E-3</v>
      </c>
      <c r="F5" s="446" t="s">
        <v>211</v>
      </c>
      <c r="G5" s="433">
        <f>SUM(G6:G11)</f>
        <v>0.43806886109955506</v>
      </c>
      <c r="H5" s="433">
        <f>SUM(H6:H11)</f>
        <v>7.8106698611339107E-2</v>
      </c>
      <c r="I5" s="448" t="s">
        <v>211</v>
      </c>
      <c r="J5" s="448" t="s">
        <v>211</v>
      </c>
      <c r="K5" s="448" t="s">
        <v>211</v>
      </c>
      <c r="L5" s="448" t="s">
        <v>211</v>
      </c>
      <c r="M5" s="433">
        <f>SUM(M6:M11)</f>
        <v>2.3333993579450086E-2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2.5174993329623918E-5</v>
      </c>
      <c r="C6" s="887"/>
      <c r="D6" s="887">
        <f>vkm_2011_GW_PW*SUMIFS(TableVerdeelsleutelVkm[CNG],TableVerdeelsleutelVkm[Voertuigtype],"Lichte voertuigen")*SUMIFS(TableECFTransport[EnergieConsumptieFactor (PJ per km)],TableECFTransport[Index],CONCATENATE($A6,"_CNG_CNG"))</f>
        <v>3.5652714295411553E-5</v>
      </c>
      <c r="E6" s="887">
        <f>vkm_2011_GW_PW*SUMIFS(TableVerdeelsleutelVkm[LPG],TableVerdeelsleutelVkm[Voertuigtype],"Lichte voertuigen")*SUMIFS(TableECFTransport[EnergieConsumptieFactor (PJ per km)],TableECFTransport[Index],CONCATENATE($A6,"_LPG_LPG"))</f>
        <v>1.1197343841847758E-3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0.20124692944884615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5.3925734099867187E-2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1.1544826645685995E-2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0.1357935299735224</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4.8246033460319048E-5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6.1279322508248253E-3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6.5521780026726324E-6</v>
      </c>
      <c r="C8" s="887"/>
      <c r="D8" s="436">
        <f>vkm_2011_NGW_PW*SUMIFS(TableVerdeelsleutelVkm[CNG],TableVerdeelsleutelVkm[Voertuigtype],"Lichte voertuigen")*SUMIFS(TableECFTransport[EnergieConsumptieFactor (PJ per km)],TableECFTransport[Index],CONCATENATE($A8,"_CNG_CNG"))</f>
        <v>1.6530991613246081E-5</v>
      </c>
      <c r="E8" s="436">
        <f>vkm_2011_NGW_PW*SUMIFS(TableVerdeelsleutelVkm[LPG],TableVerdeelsleutelVkm[Voertuigtype],"Lichte voertuigen")*SUMIFS(TableECFTransport[EnergieConsumptieFactor (PJ per km)],TableECFTransport[Index],CONCATENATE($A8,"_LPG_LPG"))</f>
        <v>4.7820441761054438E-4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8.1060285931597448E-2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2.4126005050208905E-2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4.7601542419590248E-3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1.9968115745589019E-2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6.7134278026822306E-6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9.0108044098024013E-4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8.8131031478601525</v>
      </c>
      <c r="C14" s="21"/>
      <c r="D14" s="21">
        <f t="shared" ref="D14:M14" si="0">((D5)*10^9/3600)+D12</f>
        <v>14.495473863516009</v>
      </c>
      <c r="E14" s="21">
        <f t="shared" si="0"/>
        <v>443.87188938758891</v>
      </c>
      <c r="F14" s="21"/>
      <c r="G14" s="21">
        <f t="shared" si="0"/>
        <v>121685.79474987641</v>
      </c>
      <c r="H14" s="21">
        <f t="shared" si="0"/>
        <v>21696.30516981642</v>
      </c>
      <c r="I14" s="21"/>
      <c r="J14" s="21"/>
      <c r="K14" s="21"/>
      <c r="L14" s="21"/>
      <c r="M14" s="21">
        <f t="shared" si="0"/>
        <v>6481.6648831805796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0.18650506677526907</v>
      </c>
      <c r="C16" s="56">
        <f ca="1">'EF ele_warmte'!B22</f>
        <v>0.14163609820798609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1.6436883910889917</v>
      </c>
      <c r="C18" s="23"/>
      <c r="D18" s="23">
        <f t="shared" ref="D18:M18" si="1">D14*D16</f>
        <v>2.928085720430234</v>
      </c>
      <c r="E18" s="23">
        <f t="shared" si="1"/>
        <v>100.75891889098268</v>
      </c>
      <c r="F18" s="23"/>
      <c r="G18" s="23">
        <f t="shared" si="1"/>
        <v>32490.107198217003</v>
      </c>
      <c r="H18" s="23">
        <f t="shared" si="1"/>
        <v>5402.3799872842883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7.5130767541948772E-3</v>
      </c>
      <c r="H50" s="323">
        <f t="shared" si="2"/>
        <v>0</v>
      </c>
      <c r="I50" s="323">
        <f t="shared" si="2"/>
        <v>0</v>
      </c>
      <c r="J50" s="323">
        <f t="shared" si="2"/>
        <v>0</v>
      </c>
      <c r="K50" s="323">
        <f t="shared" si="2"/>
        <v>0</v>
      </c>
      <c r="L50" s="323">
        <f t="shared" si="2"/>
        <v>0</v>
      </c>
      <c r="M50" s="323">
        <f t="shared" si="2"/>
        <v>3.3412489961653132E-4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7.5130767541948772E-3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3.3412489961653132E-4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2086.9657650541326</v>
      </c>
      <c r="H54" s="21">
        <f t="shared" si="3"/>
        <v>0</v>
      </c>
      <c r="I54" s="21">
        <f t="shared" si="3"/>
        <v>0</v>
      </c>
      <c r="J54" s="21">
        <f t="shared" si="3"/>
        <v>0</v>
      </c>
      <c r="K54" s="21">
        <f t="shared" si="3"/>
        <v>0</v>
      </c>
      <c r="L54" s="21">
        <f t="shared" si="3"/>
        <v>0</v>
      </c>
      <c r="M54" s="21">
        <f t="shared" si="3"/>
        <v>92.812472115703144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0.18650506677526907</v>
      </c>
      <c r="C56" s="56">
        <f ca="1">'EF ele_warmte'!B22</f>
        <v>0.14163609820798609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557.21985926945342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9415.7740000000013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62459.25</v>
      </c>
      <c r="C8" s="560">
        <f>B101</f>
        <v>43794.477559391846</v>
      </c>
      <c r="D8" s="1028"/>
      <c r="E8" s="1028">
        <f>E101</f>
        <v>0</v>
      </c>
      <c r="F8" s="1029"/>
      <c r="G8" s="561"/>
      <c r="H8" s="1028">
        <f>I101</f>
        <v>0</v>
      </c>
      <c r="I8" s="1028">
        <f>G101+F101</f>
        <v>0</v>
      </c>
      <c r="J8" s="1028">
        <f>H101+D101+C101</f>
        <v>29686.266462225609</v>
      </c>
      <c r="K8" s="1028"/>
      <c r="L8" s="1028"/>
      <c r="M8" s="1028"/>
      <c r="N8" s="562"/>
      <c r="O8" s="563">
        <f>C8*$C$12+D8*$D$12+E8*$E$12+F8*$F$12+G8*$G$12+H8*$H$12+I8*$I$12+J8*$J$12</f>
        <v>8846.4844669971535</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71875.024000000005</v>
      </c>
      <c r="C10" s="573">
        <f t="shared" ref="C10:L10" si="0">SUM(C8:C9)</f>
        <v>43794.477559391846</v>
      </c>
      <c r="D10" s="573">
        <f t="shared" si="0"/>
        <v>0</v>
      </c>
      <c r="E10" s="573">
        <f t="shared" si="0"/>
        <v>0</v>
      </c>
      <c r="F10" s="573">
        <f t="shared" si="0"/>
        <v>0</v>
      </c>
      <c r="G10" s="573">
        <f t="shared" si="0"/>
        <v>0</v>
      </c>
      <c r="H10" s="573">
        <f t="shared" si="0"/>
        <v>0</v>
      </c>
      <c r="I10" s="573">
        <f t="shared" si="0"/>
        <v>0</v>
      </c>
      <c r="J10" s="573">
        <f t="shared" si="0"/>
        <v>29686.266462225609</v>
      </c>
      <c r="K10" s="573">
        <f t="shared" si="0"/>
        <v>0</v>
      </c>
      <c r="L10" s="573">
        <f t="shared" si="0"/>
        <v>0</v>
      </c>
      <c r="M10" s="1031"/>
      <c r="N10" s="1031"/>
      <c r="O10" s="574">
        <f>SUM(O4:O9)</f>
        <v>8846.4844669971535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89243.57142857142</v>
      </c>
      <c r="C17" s="585">
        <f>B102</f>
        <v>62574.808154893872</v>
      </c>
      <c r="D17" s="586"/>
      <c r="E17" s="586">
        <f>E102</f>
        <v>0</v>
      </c>
      <c r="F17" s="1034"/>
      <c r="G17" s="587"/>
      <c r="H17" s="585">
        <f>I102</f>
        <v>0</v>
      </c>
      <c r="I17" s="586">
        <f>G102+F102</f>
        <v>0</v>
      </c>
      <c r="J17" s="586">
        <f>H102+D102+C102</f>
        <v>42416.59068063154</v>
      </c>
      <c r="K17" s="586"/>
      <c r="L17" s="586"/>
      <c r="M17" s="586"/>
      <c r="N17" s="1035"/>
      <c r="O17" s="588">
        <f>C17*$C$22+E17*$E$22+H17*$H$22+I17*$I$22+J17*$J$22+D17*$D$22+F17*$F$22+G17*$G$22+K17*$K$22+L17*$L$22</f>
        <v>12640.111247288563</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89243.57142857142</v>
      </c>
      <c r="C20" s="572">
        <f>SUM(C17:C19)</f>
        <v>62574.808154893872</v>
      </c>
      <c r="D20" s="572">
        <f t="shared" ref="D20:L20" si="1">SUM(D17:D19)</f>
        <v>0</v>
      </c>
      <c r="E20" s="572">
        <f t="shared" si="1"/>
        <v>0</v>
      </c>
      <c r="F20" s="572">
        <f t="shared" si="1"/>
        <v>0</v>
      </c>
      <c r="G20" s="572">
        <f t="shared" si="1"/>
        <v>0</v>
      </c>
      <c r="H20" s="572">
        <f t="shared" si="1"/>
        <v>0</v>
      </c>
      <c r="I20" s="572">
        <f t="shared" si="1"/>
        <v>0</v>
      </c>
      <c r="J20" s="572">
        <f t="shared" si="1"/>
        <v>42416.59068063154</v>
      </c>
      <c r="K20" s="572">
        <f t="shared" si="1"/>
        <v>0</v>
      </c>
      <c r="L20" s="572">
        <f t="shared" si="1"/>
        <v>0</v>
      </c>
      <c r="M20" s="572"/>
      <c r="N20" s="572"/>
      <c r="O20" s="592">
        <f>SUM(O17:O19)</f>
        <v>12640.111247288563</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44011</v>
      </c>
      <c r="C28" s="791">
        <v>9800</v>
      </c>
      <c r="D28" s="644" t="s">
        <v>913</v>
      </c>
      <c r="E28" s="643" t="s">
        <v>914</v>
      </c>
      <c r="F28" s="643" t="s">
        <v>915</v>
      </c>
      <c r="G28" s="643" t="s">
        <v>916</v>
      </c>
      <c r="H28" s="643" t="s">
        <v>917</v>
      </c>
      <c r="I28" s="643" t="s">
        <v>914</v>
      </c>
      <c r="J28" s="790">
        <v>39860</v>
      </c>
      <c r="K28" s="790">
        <v>39875</v>
      </c>
      <c r="L28" s="643" t="s">
        <v>918</v>
      </c>
      <c r="M28" s="643">
        <v>2000</v>
      </c>
      <c r="N28" s="643">
        <v>9000</v>
      </c>
      <c r="O28" s="643">
        <v>12857.142857142857</v>
      </c>
      <c r="P28" s="643">
        <v>25714.285714285717</v>
      </c>
      <c r="Q28" s="643">
        <v>0</v>
      </c>
      <c r="R28" s="643">
        <v>0</v>
      </c>
      <c r="S28" s="643">
        <v>0</v>
      </c>
      <c r="T28" s="643">
        <v>0</v>
      </c>
      <c r="U28" s="643">
        <v>0</v>
      </c>
      <c r="V28" s="643">
        <v>0</v>
      </c>
      <c r="W28" s="643">
        <v>0</v>
      </c>
      <c r="X28" s="643">
        <v>10</v>
      </c>
      <c r="Y28" s="643" t="s">
        <v>112</v>
      </c>
      <c r="Z28" s="645" t="s">
        <v>112</v>
      </c>
    </row>
    <row r="29" spans="1:26" s="597" customFormat="1" ht="63.75">
      <c r="A29" s="596"/>
      <c r="B29" s="791">
        <v>44011</v>
      </c>
      <c r="C29" s="791">
        <v>9800</v>
      </c>
      <c r="D29" s="644" t="s">
        <v>919</v>
      </c>
      <c r="E29" s="643" t="s">
        <v>920</v>
      </c>
      <c r="F29" s="643" t="s">
        <v>921</v>
      </c>
      <c r="G29" s="643" t="s">
        <v>922</v>
      </c>
      <c r="H29" s="643" t="s">
        <v>922</v>
      </c>
      <c r="I29" s="643" t="s">
        <v>920</v>
      </c>
      <c r="J29" s="790">
        <v>40679</v>
      </c>
      <c r="K29" s="790">
        <v>40848</v>
      </c>
      <c r="L29" s="643" t="s">
        <v>918</v>
      </c>
      <c r="M29" s="643">
        <v>1</v>
      </c>
      <c r="N29" s="643">
        <v>4.5</v>
      </c>
      <c r="O29" s="643">
        <v>22.5</v>
      </c>
      <c r="P29" s="643">
        <v>30</v>
      </c>
      <c r="Q29" s="643">
        <v>0</v>
      </c>
      <c r="R29" s="643">
        <v>0</v>
      </c>
      <c r="S29" s="643">
        <v>0</v>
      </c>
      <c r="T29" s="643">
        <v>0</v>
      </c>
      <c r="U29" s="643">
        <v>0</v>
      </c>
      <c r="V29" s="643">
        <v>0</v>
      </c>
      <c r="W29" s="643">
        <v>0</v>
      </c>
      <c r="X29" s="643">
        <v>1600</v>
      </c>
      <c r="Y29" s="643" t="s">
        <v>50</v>
      </c>
      <c r="Z29" s="645" t="s">
        <v>156</v>
      </c>
    </row>
    <row r="30" spans="1:26" s="597" customFormat="1" ht="38.25">
      <c r="A30" s="596"/>
      <c r="B30" s="791">
        <v>44011</v>
      </c>
      <c r="C30" s="791">
        <v>9800</v>
      </c>
      <c r="D30" s="644" t="s">
        <v>923</v>
      </c>
      <c r="E30" s="643" t="s">
        <v>924</v>
      </c>
      <c r="F30" s="643" t="s">
        <v>925</v>
      </c>
      <c r="G30" s="643" t="s">
        <v>926</v>
      </c>
      <c r="H30" s="643" t="s">
        <v>917</v>
      </c>
      <c r="I30" s="643" t="s">
        <v>924</v>
      </c>
      <c r="J30" s="790">
        <v>40718</v>
      </c>
      <c r="K30" s="790">
        <v>40718</v>
      </c>
      <c r="L30" s="643" t="s">
        <v>918</v>
      </c>
      <c r="M30" s="643">
        <v>5608</v>
      </c>
      <c r="N30" s="643">
        <v>25236</v>
      </c>
      <c r="O30" s="643">
        <v>36051.428571428572</v>
      </c>
      <c r="P30" s="643">
        <v>0</v>
      </c>
      <c r="Q30" s="643">
        <v>0</v>
      </c>
      <c r="R30" s="643">
        <v>0</v>
      </c>
      <c r="S30" s="643">
        <v>0</v>
      </c>
      <c r="T30" s="643">
        <v>0</v>
      </c>
      <c r="U30" s="643">
        <v>0</v>
      </c>
      <c r="V30" s="643">
        <v>72102.857142857145</v>
      </c>
      <c r="W30" s="643">
        <v>0</v>
      </c>
      <c r="X30" s="643">
        <v>10</v>
      </c>
      <c r="Y30" s="643" t="s">
        <v>112</v>
      </c>
      <c r="Z30" s="645" t="s">
        <v>112</v>
      </c>
    </row>
    <row r="31" spans="1:26" s="597" customFormat="1" ht="38.25">
      <c r="A31" s="596"/>
      <c r="B31" s="791">
        <v>44011</v>
      </c>
      <c r="C31" s="791">
        <v>9800</v>
      </c>
      <c r="D31" s="644" t="s">
        <v>927</v>
      </c>
      <c r="E31" s="643" t="s">
        <v>928</v>
      </c>
      <c r="F31" s="643" t="s">
        <v>929</v>
      </c>
      <c r="G31" s="643" t="s">
        <v>916</v>
      </c>
      <c r="H31" s="643" t="s">
        <v>917</v>
      </c>
      <c r="I31" s="643" t="s">
        <v>930</v>
      </c>
      <c r="J31" s="790">
        <v>41320</v>
      </c>
      <c r="K31" s="790">
        <v>41320</v>
      </c>
      <c r="L31" s="643" t="s">
        <v>918</v>
      </c>
      <c r="M31" s="643">
        <v>7525</v>
      </c>
      <c r="N31" s="643">
        <v>28218.75</v>
      </c>
      <c r="O31" s="643">
        <v>40312.5</v>
      </c>
      <c r="P31" s="643">
        <v>80625</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15134</v>
      </c>
      <c r="N58" s="601">
        <f>SUM(N28:N57)</f>
        <v>62459.25</v>
      </c>
      <c r="O58" s="601">
        <f t="shared" ref="O58:W58" si="2">SUM(O28:O57)</f>
        <v>89243.57142857142</v>
      </c>
      <c r="P58" s="601">
        <f t="shared" si="2"/>
        <v>106369.28571428571</v>
      </c>
      <c r="Q58" s="601">
        <f t="shared" si="2"/>
        <v>0</v>
      </c>
      <c r="R58" s="601">
        <f t="shared" si="2"/>
        <v>0</v>
      </c>
      <c r="S58" s="601">
        <f t="shared" si="2"/>
        <v>0</v>
      </c>
      <c r="T58" s="601">
        <f t="shared" si="2"/>
        <v>0</v>
      </c>
      <c r="U58" s="601">
        <f t="shared" si="2"/>
        <v>0</v>
      </c>
      <c r="V58" s="601">
        <f t="shared" si="2"/>
        <v>72102.857142857145</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v>
      </c>
      <c r="N60" s="601">
        <f ca="1">SUMIF($Z$28:AD57,"tertiair",N28:N57)</f>
        <v>4.5</v>
      </c>
      <c r="O60" s="601">
        <f ca="1">SUMIF($Z$28:AE57,"tertiair",O28:O57)</f>
        <v>22.5</v>
      </c>
      <c r="P60" s="601">
        <f ca="1">SUMIF($Z$28:AF57,"tertiair",P28:P57)</f>
        <v>30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15133</v>
      </c>
      <c r="N61" s="606">
        <f t="shared" si="4"/>
        <v>62454.75</v>
      </c>
      <c r="O61" s="606">
        <f t="shared" si="4"/>
        <v>89221.07142857142</v>
      </c>
      <c r="P61" s="606">
        <f t="shared" si="4"/>
        <v>106339.28571428571</v>
      </c>
      <c r="Q61" s="606">
        <f t="shared" si="4"/>
        <v>0</v>
      </c>
      <c r="R61" s="606">
        <f t="shared" si="4"/>
        <v>0</v>
      </c>
      <c r="S61" s="606">
        <f t="shared" si="4"/>
        <v>0</v>
      </c>
      <c r="T61" s="606">
        <f t="shared" si="4"/>
        <v>0</v>
      </c>
      <c r="U61" s="606">
        <f t="shared" si="4"/>
        <v>0</v>
      </c>
      <c r="V61" s="606">
        <f t="shared" si="4"/>
        <v>72102.857142857145</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0.58827891655654774</v>
      </c>
      <c r="C98" s="626">
        <f>IF(ISERROR(N58/(O58+N58)),0,N58/(N58+O58))</f>
        <v>0.41172108344345232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43794.477559391846</v>
      </c>
      <c r="C101" s="635">
        <f t="shared" si="9"/>
        <v>0</v>
      </c>
      <c r="D101" s="635">
        <f t="shared" si="9"/>
        <v>0</v>
      </c>
      <c r="E101" s="635">
        <f t="shared" si="9"/>
        <v>0</v>
      </c>
      <c r="F101" s="635">
        <f t="shared" si="9"/>
        <v>0</v>
      </c>
      <c r="G101" s="635">
        <f t="shared" si="9"/>
        <v>0</v>
      </c>
      <c r="H101" s="635">
        <f t="shared" si="9"/>
        <v>29686.266462225609</v>
      </c>
      <c r="I101" s="636">
        <f t="shared" si="9"/>
        <v>0</v>
      </c>
      <c r="J101" s="593"/>
      <c r="K101" s="593"/>
      <c r="L101" s="631"/>
      <c r="M101" s="631"/>
      <c r="N101" s="631"/>
      <c r="O101" s="618"/>
      <c r="P101" s="618"/>
    </row>
    <row r="102" spans="1:16" ht="15.75" thickBot="1">
      <c r="A102" s="637" t="s">
        <v>286</v>
      </c>
      <c r="B102" s="638">
        <f t="shared" ref="B102:I102" si="10">$B$98*P58</f>
        <v>62574.808154893872</v>
      </c>
      <c r="C102" s="638">
        <f t="shared" si="10"/>
        <v>0</v>
      </c>
      <c r="D102" s="638">
        <f t="shared" si="10"/>
        <v>0</v>
      </c>
      <c r="E102" s="638">
        <f t="shared" si="10"/>
        <v>0</v>
      </c>
      <c r="F102" s="638">
        <f t="shared" si="10"/>
        <v>0</v>
      </c>
      <c r="G102" s="638">
        <f t="shared" si="10"/>
        <v>0</v>
      </c>
      <c r="H102" s="638">
        <f t="shared" si="10"/>
        <v>42416.59068063154</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2019-08-12T08:04:00Z</dcterms:modified>
</cp:coreProperties>
</file>