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C98"/>
  <c r="B98"/>
  <c r="O9"/>
  <c r="O19"/>
  <c r="D102"/>
  <c r="H102"/>
  <c r="N6" i="17"/>
  <c r="I101" i="18" l="1"/>
  <c r="H8" s="1"/>
  <c r="H10" s="1"/>
  <c r="B101"/>
  <c r="C8" s="1"/>
  <c r="C10" s="1"/>
  <c r="C101"/>
  <c r="D101"/>
  <c r="F101"/>
  <c r="G101"/>
  <c r="I8" s="1"/>
  <c r="I10" s="1"/>
  <c r="H101"/>
  <c r="J8" s="1"/>
  <c r="J10" s="1"/>
  <c r="I102"/>
  <c r="H17" s="1"/>
  <c r="H20" s="1"/>
  <c r="F102"/>
  <c r="G102"/>
  <c r="B102"/>
  <c r="C17" s="1"/>
  <c r="C20" s="1"/>
  <c r="C102"/>
  <c r="E101"/>
  <c r="E8" s="1"/>
  <c r="E10" s="1"/>
  <c r="E102"/>
  <c r="E17" s="1"/>
  <c r="E20" s="1"/>
  <c r="J17"/>
  <c r="J20" s="1"/>
  <c r="L6" i="17"/>
  <c r="F6"/>
  <c r="D6"/>
  <c r="C6"/>
  <c r="N16" i="16"/>
  <c r="L16"/>
  <c r="F16"/>
  <c r="D16"/>
  <c r="C16"/>
  <c r="B16"/>
  <c r="B13" i="15"/>
  <c r="O8" i="18" l="1"/>
  <c r="O10" s="1"/>
  <c r="I17"/>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H26" s="1"/>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Q22"/>
  <c r="R12"/>
  <c r="K78" l="1"/>
  <c r="K8" i="59"/>
  <c r="K10" s="1"/>
  <c r="E90" i="14"/>
  <c r="E18" i="59"/>
  <c r="E20" s="1"/>
  <c r="L78" i="14"/>
  <c r="L9" i="59"/>
  <c r="D14" i="48"/>
  <c r="L10" i="59"/>
  <c r="G22" i="14"/>
  <c r="O22"/>
  <c r="P22"/>
  <c r="Q52"/>
  <c r="Q11" i="48"/>
  <c r="O17" i="18"/>
  <c r="O20" s="1"/>
  <c r="O28" i="48"/>
  <c r="K22" i="14"/>
  <c r="D22"/>
  <c r="L22"/>
  <c r="K20" i="59"/>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8"/>
  <c r="H29"/>
  <c r="H26"/>
  <c r="H22"/>
  <c r="H30"/>
  <c r="H25"/>
  <c r="H24"/>
  <c r="H23"/>
  <c r="C4"/>
  <c r="D11" i="14"/>
  <c r="G32" i="48"/>
  <c r="G26"/>
  <c r="G22"/>
  <c r="G30"/>
  <c r="G25"/>
  <c r="G29"/>
  <c r="G24"/>
  <c r="G23"/>
  <c r="B4"/>
  <c r="C11" i="14"/>
  <c r="F29" i="48"/>
  <c r="F32"/>
  <c r="F31"/>
  <c r="F28"/>
  <c r="F24"/>
  <c r="F27"/>
  <c r="F30"/>
  <c r="N31"/>
  <c r="N29"/>
  <c r="N32"/>
  <c r="N27"/>
  <c r="N30"/>
  <c r="N28"/>
  <c r="N24"/>
  <c r="C19" i="14"/>
  <c r="B10" i="48"/>
  <c r="E29"/>
  <c r="E32"/>
  <c r="E31"/>
  <c r="E28"/>
  <c r="E30"/>
  <c r="E24"/>
  <c r="M29"/>
  <c r="M26"/>
  <c r="M25"/>
  <c r="M32"/>
  <c r="M22"/>
  <c r="M30"/>
  <c r="M24"/>
  <c r="M23"/>
  <c r="K5"/>
  <c r="L10" i="14"/>
  <c r="L16" s="1"/>
  <c r="L27" s="1"/>
  <c r="D29" i="48"/>
  <c r="D30"/>
  <c r="D31"/>
  <c r="D24"/>
  <c r="D28"/>
  <c r="D32"/>
  <c r="L29"/>
  <c r="L32"/>
  <c r="L28"/>
  <c r="L30"/>
  <c r="L31"/>
  <c r="L27"/>
  <c r="L24"/>
  <c r="L22"/>
  <c r="Q10" i="14"/>
  <c r="P5" i="48"/>
  <c r="P23" s="1"/>
  <c r="K32"/>
  <c r="K26"/>
  <c r="K28"/>
  <c r="K25"/>
  <c r="K22"/>
  <c r="K31"/>
  <c r="K30"/>
  <c r="K29"/>
  <c r="K24"/>
  <c r="K27"/>
  <c r="C24" i="14"/>
  <c r="C26" s="1"/>
  <c r="B7" i="48"/>
  <c r="J32"/>
  <c r="J28"/>
  <c r="J24"/>
  <c r="J31"/>
  <c r="J27"/>
  <c r="J30"/>
  <c r="J29"/>
  <c r="Q11" i="14"/>
  <c r="P4" i="48"/>
  <c r="P11" i="14"/>
  <c r="O4" i="48"/>
  <c r="I26"/>
  <c r="I32"/>
  <c r="I28"/>
  <c r="I29"/>
  <c r="I27"/>
  <c r="I22"/>
  <c r="I30"/>
  <c r="I31"/>
  <c r="I24"/>
  <c r="I25"/>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P10"/>
  <c r="O5" i="48"/>
  <c r="O23" s="1"/>
  <c r="O22"/>
  <c r="K15"/>
  <c r="K23"/>
  <c r="C22" i="14"/>
  <c r="G11"/>
  <c r="F4" i="48"/>
  <c r="F22" s="1"/>
  <c r="J7"/>
  <c r="J25" s="1"/>
  <c r="K24" i="14"/>
  <c r="K26" s="1"/>
  <c r="I5" i="48"/>
  <c r="J10" i="14"/>
  <c r="J16" s="1"/>
  <c r="J27" s="1"/>
  <c r="M12" i="22"/>
  <c r="M13" i="48"/>
  <c r="M31" s="1"/>
  <c r="N18" i="14"/>
  <c r="H18"/>
  <c r="G13" i="48"/>
  <c r="I18" i="14"/>
  <c r="H13" i="48"/>
  <c r="H31" s="1"/>
  <c r="E9"/>
  <c r="F20" i="14"/>
  <c r="F22" s="1"/>
  <c r="P22" i="16"/>
  <c r="Q43" i="14" s="1"/>
  <c r="Q13"/>
  <c r="P8" i="48"/>
  <c r="P26" s="1"/>
  <c r="P15"/>
  <c r="P22"/>
  <c r="P33" s="1"/>
  <c r="E20" i="14"/>
  <c r="E22" s="1"/>
  <c r="D9" i="48"/>
  <c r="D27" s="1"/>
  <c r="Q16" i="14"/>
  <c r="Q27" s="1"/>
  <c r="L63"/>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G31" i="48"/>
  <c r="Q13"/>
  <c r="O11" i="14"/>
  <c r="N4" i="48"/>
  <c r="N22" s="1"/>
  <c r="J4"/>
  <c r="K11" i="14"/>
  <c r="I23" i="48"/>
  <c r="I33" s="1"/>
  <c r="I15"/>
  <c r="M9"/>
  <c r="N20" i="14"/>
  <c r="N22" s="1"/>
  <c r="N27" s="1"/>
  <c r="E27" i="48"/>
  <c r="P13" i="14"/>
  <c r="O8" i="48"/>
  <c r="N19" i="14"/>
  <c r="M10" i="48"/>
  <c r="M28" s="1"/>
  <c r="F24" i="14"/>
  <c r="F26" s="1"/>
  <c r="E7" i="48"/>
  <c r="E25" s="1"/>
  <c r="G10"/>
  <c r="H19" i="14"/>
  <c r="R19" s="1"/>
  <c r="G14" i="22"/>
  <c r="Q63" i="14"/>
  <c r="P16"/>
  <c r="P27"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G28" i="48"/>
  <c r="Q10"/>
  <c r="H9"/>
  <c r="I20" i="14"/>
  <c r="I22" s="1"/>
  <c r="I27" s="1"/>
  <c r="E20" i="15"/>
  <c r="F40" i="14" s="1"/>
  <c r="F10"/>
  <c r="E5" i="48"/>
  <c r="E23" s="1"/>
  <c r="J22"/>
  <c r="O26"/>
  <c r="O33" s="1"/>
  <c r="O15"/>
  <c r="J5"/>
  <c r="J23" s="1"/>
  <c r="K10" i="14"/>
  <c r="E22" i="48"/>
  <c r="Q4"/>
  <c r="G9"/>
  <c r="H20" i="14"/>
  <c r="M27" i="48"/>
  <c r="M33" s="1"/>
  <c r="M15"/>
  <c r="R11" i="14"/>
  <c r="M61"/>
  <c r="M27"/>
  <c r="E16"/>
  <c r="E27" s="1"/>
  <c r="E63" s="1"/>
  <c r="L15" i="48"/>
  <c r="R24" i="14"/>
  <c r="R26" s="1"/>
  <c r="L33" i="48"/>
  <c r="Q7"/>
  <c r="D23"/>
  <c r="D33" s="1"/>
  <c r="D15"/>
  <c r="C16" i="14"/>
  <c r="C27" s="1"/>
  <c r="B3" i="6" s="1"/>
  <c r="B12" s="1"/>
  <c r="F23" i="48"/>
  <c r="N23"/>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G27"/>
  <c r="G33" s="1"/>
  <c r="G15"/>
  <c r="Q9"/>
  <c r="J22" i="16"/>
  <c r="K43" i="14" s="1"/>
  <c r="K46" s="1"/>
  <c r="K61" s="1"/>
  <c r="K63" s="1"/>
  <c r="J8" i="48"/>
  <c r="J26" s="1"/>
  <c r="J33" s="1"/>
  <c r="K13" i="14"/>
  <c r="H22"/>
  <c r="H27" s="1"/>
  <c r="H63" s="1"/>
  <c r="R20"/>
  <c r="R22" s="1"/>
  <c r="H27" i="48"/>
  <c r="H33" s="1"/>
  <c r="H15"/>
  <c r="I63" i="14"/>
  <c r="Q5" i="48"/>
  <c r="K16" i="14"/>
  <c r="K27" s="1"/>
  <c r="F46"/>
  <c r="F61"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<sst xmlns="http://schemas.openxmlformats.org/spreadsheetml/2006/main" count="2459" uniqueCount="926">
  <si>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</si>
  <si>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</si>
  <si>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</si>
  <si>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</si>
  <si>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</si>
  <si>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</si>
  <si>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</si>
  <si>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</si>
  <si>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</si>
  <si>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</si>
  <si>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</si>
  <si>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</si>
  <si>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</si>
  <si>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</si>
  <si>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</si>
  <si>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</si>
  <si>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</si>
  <si>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</si>
  <si>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</si>
  <si>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</si>
  <si>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</si>
  <si>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</si>
  <si>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</si>
  <si>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</si>
  <si>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</si>
  <si>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</si>
  <si>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</si>
  <si>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</si>
  <si>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</si>
  <si>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</si>
  <si>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</si>
  <si>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</si>
  <si>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</si>
  <si>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</si>
  <si>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</si>
  <si>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</si>
  <si>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</si>
  <si>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</si>
  <si>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</si>
  <si>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</si>
  <si>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</si>
  <si>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</si>
  <si>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</si>
  <si>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</si>
  <si>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</si>
  <si>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</si>
  <si>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</si>
  <si>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</si>
  <si>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</si>
  <si>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</si>
  <si>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</si>
  <si>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</si>
  <si>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</si>
  <si>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</si>
  <si>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</si>
  <si>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</si>
  <si>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</si>
  <si>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</si>
  <si>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</si>
  <si>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</si>
  <si>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</si>
  <si>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</si>
  <si>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</si>
  <si>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</si>
  <si>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</si>
  <si>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</si>
  <si>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</si>
  <si>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</si>
  <si>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</si>
  <si>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</si>
  <si>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</si>
  <si>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</si>
  <si>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</si>
  <si>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</si>
  <si>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</si>
  <si>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</si>
  <si>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</si>
  <si>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</si>
  <si>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</si>
  <si>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</si>
  <si>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</si>
  <si>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</si>
  <si>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</si>
  <si>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</si>
  <si>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</si>
  <si>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</si>
  <si>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</si>
  <si>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</si>
  <si>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</si>
  <si>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</si>
  <si>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</si>
  <si>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</si>
  <si>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</si>
  <si>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</si>
  <si>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</si>
  <si>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</si>
  <si>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</si>
  <si>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</si>
  <si>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</si>
  <si>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</si>
  <si>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</si>
  <si>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</si>
  <si>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</si>
  <si>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</si>
  <si>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</si>
  <si>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</si>
  <si>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</si>
  <si>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</si>
  <si>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</si>
  <si>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</si>
  <si>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</si>
  <si>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</si>
  <si>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</si>
  <si>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</si>
  <si>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</si>
  <si>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</si>
  <si>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</si>
  <si>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</si>
  <si>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</si>
  <si>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</si>
  <si>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</si>
  <si>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</si>
  <si>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</si>
  <si>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</si>
  <si>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</si>
  <si>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</si>
  <si>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</si>
  <si>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</si>
  <si>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</si>
  <si>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</si>
  <si>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</si>
  <si>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</si>
  <si>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</si>
  <si>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</si>
  <si>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</si>
  <si>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</si>
  <si>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</si>
  <si>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</si>
  <si>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</si>
  <si>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</si>
  <si>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</si>
  <si>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</si>
  <si>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</si>
  <si>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</si>
  <si>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</si>
  <si>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</si>
  <si>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</si>
  <si>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</si>
  <si>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</si>
  <si>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</si>
  <si>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</si>
  <si>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</si>
  <si>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</si>
  <si>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</si>
  <si>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</si>
  <si>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</si>
  <si>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</si>
  <si>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</si>
  <si>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</si>
  <si>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</si>
  <si>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</si>
  <si>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</si>
  <si>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</si>
  <si>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</si>
  <si>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</si>
  <si>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</si>
  <si>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</si>
  <si>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</si>
  <si>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</si>
  <si>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</si>
  <si>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</si>
  <si>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</si>
  <si>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</si>
  <si>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</si>
  <si>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</si>
  <si>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</si>
  <si>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</si>
  <si>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</si>
  <si>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</si>
  <si>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</si>
  <si>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</si>
  <si>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</si>
  <si>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</si>
  <si>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</si>
  <si>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</si>
  <si>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</si>
  <si>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</si>
  <si>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</si>
  <si>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</si>
  <si>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</si>
  <si>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</si>
  <si>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</si>
  <si>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</si>
  <si>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</si>
  <si>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</si>
  <si>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</si>
  <si>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</si>
  <si>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</si>
  <si>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</si>
  <si>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</si>
  <si>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</si>
  <si>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</si>
  <si>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</si>
  <si>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</si>
  <si>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</si>
  <si>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</si>
  <si>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</si>
  <si>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</si>
  <si>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</si>
  <si>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</si>
  <si>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</si>
  <si>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</si>
  <si>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</si>
  <si>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</si>
  <si>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</si>
  <si>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</si>
  <si>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</si>
  <si>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</si>
  <si>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</si>
  <si>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</si>
  <si>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</si>
  <si>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</si>
  <si>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</si>
  <si>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</si>
  <si>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</si>
  <si>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</si>
  <si>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</si>
  <si>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</si>
  <si>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</si>
  <si>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</si>
  <si>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</si>
  <si>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</si>
  <si>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</si>
  <si>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</si>
  <si>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</si>
  <si>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</si>
  <si>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</si>
  <si>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</si>
  <si>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</si>
  <si>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</si>
  <si>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</si>
  <si>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</si>
  <si>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</si>
  <si>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</si>
  <si>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</si>
  <si>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</si>
  <si>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</si>
  <si>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</si>
  <si>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</si>
  <si>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</si>
  <si>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</si>
  <si>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</si>
  <si>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</si>
  <si>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</si>
  <si>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</si>
  <si>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</si>
  <si>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</si>
  <si>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</si>
  <si>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</si>
  <si>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</si>
  <si>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</si>
  <si>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</si>
  <si>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</si>
  <si>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</si>
  <si>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</si>
  <si>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</si>
  <si>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</si>
  <si>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</si>
  <si>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</si>
  <si>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</si>
  <si>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</si>
  <si>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</si>
  <si>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</si>
  <si>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</si>
  <si>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</si>
  <si>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</si>
  <si>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</si>
  <si>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</si>
  <si>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</si>
  <si>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</si>
  <si>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</si>
  <si>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</si>
  <si>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</si>
  <si>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</si>
  <si>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</si>
  <si>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</si>
  <si>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</si>
  <si>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</si>
  <si>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</si>
  <si>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</si>
  <si>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</si>
  <si>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</si>
  <si>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</si>
  <si>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</si>
  <si>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</si>
  <si>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</si>
  <si>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</si>
  <si>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</si>
  <si>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</si>
  <si>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</si>
  <si>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</si>
  <si>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</si>
  <si>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</si>
  <si>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</si>
  <si>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</si>
  <si>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</si>
  <si>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</si>
  <si>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</si>
  <si>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</si>
  <si>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</si>
  <si>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</si>
  <si>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</si>
  <si>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</si>
  <si>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</si>
  <si>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</si>
  <si>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</si>
  <si>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</si>
  <si>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</si>
  <si>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</si>
  <si>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</si>
  <si>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</si>
  <si>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</si>
  <si>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</si>
  <si>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</si>
  <si>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</si>
  <si>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</si>
  <si>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</si>
  <si>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</si>
  <si>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</si>
  <si>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</si>
  <si>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</si>
  <si>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</si>
  <si>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</si>
  <si>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</si>
  <si>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</si>
  <si>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</si>
  <si>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</si>
  <si>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</si>
  <si>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</si>
  <si>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</si>
  <si>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</si>
  <si>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</si>
  <si>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</si>
  <si>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</si>
  <si>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</si>
  <si>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</si>
  <si>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</si>
  <si>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</si>
  <si>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</si>
  <si>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</si>
  <si>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</si>
  <si>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</si>
  <si>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</si>
  <si>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</si>
  <si>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</si>
  <si>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</si>
  <si>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</si>
  <si>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</si>
  <si>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</si>
  <si>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</si>
  <si>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</si>
  <si>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</si>
  <si>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</si>
  <si>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</si>
  <si>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</si>
  <si>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</si>
  <si>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</si>
  <si>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</si>
  <si>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</si>
  <si>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</si>
  <si>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</si>
  <si>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</si>
  <si>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</si>
  <si>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</si>
  <si>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</si>
  <si>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</si>
  <si>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</si>
  <si>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</si>
  <si>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</si>
  <si>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</si>
  <si>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</si>
  <si>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</si>
  <si>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</si>
  <si>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</si>
  <si>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</si>
  <si>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</si>
  <si>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</si>
  <si>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</si>
  <si>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</si>
  <si>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</si>
  <si>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</si>
  <si>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</si>
  <si>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</si>
  <si>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</si>
  <si>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</si>
  <si>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</si>
  <si>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</si>
  <si>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</si>
  <si>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</si>
  <si>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</si>
  <si>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</si>
  <si>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</si>
  <si>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</si>
  <si>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</si>
  <si>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</si>
  <si>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</si>
  <si>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</si>
  <si>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</si>
  <si>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</si>
  <si>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</si>
  <si>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</si>
  <si>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</si>
  <si>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</si>
  <si>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</si>
  <si>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</si>
  <si>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</si>
  <si>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</si>
  <si>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</si>
  <si>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</si>
  <si>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</si>
  <si>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</si>
  <si>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</si>
  <si>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</si>
  <si>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</si>
  <si>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</si>
  <si>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</si>
  <si>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</si>
  <si>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</si>
  <si>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</si>
  <si>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</si>
  <si>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</si>
  <si>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</si>
  <si>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</si>
  <si>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</si>
  <si>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</si>
  <si>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</si>
  <si>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</si>
  <si>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</si>
  <si>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</si>
  <si>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</si>
  <si>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</si>
  <si>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</si>
  <si>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</si>
  <si>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</si>
  <si>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</si>
  <si>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</si>
  <si>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</si>
  <si>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</si>
  <si>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</si>
  <si>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</si>
  <si>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</si>
  <si>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</si>
  <si>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</si>
  <si>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</si>
  <si>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</si>
  <si>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</si>
  <si>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</si>
  <si>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</si>
  <si>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</si>
  <si>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</si>
  <si>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</si>
  <si>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</si>
  <si>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</si>
  <si>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</si>
  <si>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</si>
  <si>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</si>
  <si>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</si>
  <si>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</si>
  <si>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</si>
  <si>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</si>
  <si>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</si>
  <si>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</si>
  <si>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</si>
  <si>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</si>
  <si>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</si>
  <si>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</si>
  <si>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</si>
  <si>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</si>
  <si>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</si>
  <si>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</si>
  <si>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</si>
  <si>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</si>
  <si>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</si>
  <si>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</si>
  <si>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</si>
  <si>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</si>
  <si>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</si>
  <si>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</si>
  <si>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</si>
  <si>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</si>
  <si>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</si>
  <si>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</si>
  <si>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</si>
  <si>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</si>
  <si>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</si>
  <si>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</si>
  <si>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</si>
  <si>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</si>
  <si>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</si>
  <si>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</si>
  <si>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</si>
  <si>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</si>
  <si>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</si>
  <si>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</si>
  <si>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</si>
  <si>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</si>
  <si>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</si>
  <si>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</si>
  <si>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</si>
  <si>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</si>
  <si>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</si>
  <si>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</si>
  <si>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</si>
  <si>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</si>
  <si>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</si>
  <si>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</si>
  <si>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</si>
  <si>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</si>
  <si>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</si>
  <si>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</si>
  <si>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</si>
  <si>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</si>
  <si>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</si>
  <si>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</si>
  <si>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</si>
  <si>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</si>
  <si>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</si>
  <si>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</si>
  <si>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</si>
  <si>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</si>
  <si>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</si>
  <si>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</si>
  <si>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</si>
  <si>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</si>
  <si>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</si>
  <si>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</si>
  <si>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</si>
  <si>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</si>
  <si>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</si>
  <si>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</si>
  <si>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</si>
  <si>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</si>
  <si>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</si>
  <si>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</si>
  <si>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</si>
  <si>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</si>
  <si>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</si>
  <si>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</si>
  <si>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</si>
  <si>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</si>
  <si>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</si>
  <si>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</si>
  <si>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</si>
  <si>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</si>
  <si>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</si>
  <si>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</si>
  <si>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</si>
  <si>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</si>
  <si>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</si>
  <si>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</si>
  <si>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</si>
  <si>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</si>
  <si>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</si>
  <si>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</si>
  <si>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</si>
  <si>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</si>
  <si>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</si>
  <si>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</si>
  <si>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</si>
  <si>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</si>
  <si>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</si>
  <si>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</si>
  <si>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</si>
  <si>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</si>
  <si>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</si>
  <si>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</si>
  <si>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</si>
  <si>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</si>
  <si>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</si>
  <si>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</si>
  <si>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</si>
  <si>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</si>
  <si>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</si>
  <si>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</si>
  <si>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</si>
  <si>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</si>
  <si>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</si>
  <si>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</si>
  <si>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</si>
  <si>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</si>
  <si>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</si>
  <si>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</si>
  <si>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</si>
  <si>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</si>
  <si>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</si>
  <si>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</si>
  <si>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</si>
  <si>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</si>
  <si>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</si>
  <si>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</si>
  <si>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</si>
  <si>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</si>
  <si>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</si>
  <si>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</si>
  <si>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</si>
  <si>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</si>
  <si>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</si>
  <si>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</si>
  <si>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</si>
  <si>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</si>
  <si>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</si>
  <si>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</si>
  <si>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</si>
  <si>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</si>
  <si>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</si>
  <si>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</si>
  <si>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</si>
  <si>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</si>
  <si>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</si>
  <si>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</si>
  <si>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</si>
  <si>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</si>
  <si>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</si>
  <si>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</si>
  <si>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</si>
  <si>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</si>
  <si>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</si>
  <si>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</si>
  <si>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</si>
  <si>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</si>
  <si>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</si>
  <si>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</si>
  <si>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</si>
  <si>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</si>
  <si>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</si>
  <si>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</si>
  <si>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</si>
  <si>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</si>
  <si>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</si>
  <si>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</si>
  <si>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</si>
  <si>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</si>
  <si>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</si>
  <si>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</si>
  <si>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</si>
  <si>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</si>
  <si>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</si>
  <si>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</si>
  <si>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</si>
  <si>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</si>
  <si>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</si>
  <si>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</si>
  <si>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</si>
  <si>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</si>
  <si>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</si>
  <si>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</si>
  <si>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</si>
  <si>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</si>
  <si>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</si>
  <si>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</si>
  <si>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</si>
  <si>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</si>
  <si>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</si>
  <si>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</si>
  <si>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</si>
  <si>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</si>
  <si>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</si>
  <si>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</si>
  <si>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</si>
  <si>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</si>
  <si>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</si>
  <si>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</si>
  <si>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</si>
  <si>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</si>
  <si>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</si>
  <si>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</si>
  <si>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</si>
  <si>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</si>
  <si>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</si>
  <si>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</si>
  <si>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</si>
  <si>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</si>
  <si>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</si>
  <si>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</si>
  <si>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</si>
  <si>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</si>
  <si>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</si>
  <si>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</si>
  <si>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</si>
  <si>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</si>
  <si>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</si>
  <si>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</si>
  <si>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</si>
  <si>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</si>
  <si>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</si>
  <si>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</si>
  <si>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</si>
  <si>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</si>
  <si>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</si>
  <si>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</si>
  <si>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</si>
  <si>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</si>
  <si>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</si>
  <si>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</si>
  <si>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</si>
  <si>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</si>
  <si>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</si>
  <si>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</si>
  <si>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</si>
  <si>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</si>
  <si>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</si>
  <si>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</si>
  <si>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</si>
  <si>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</si>
  <si>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</si>
  <si>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</si>
  <si>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</si>
  <si>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</si>
  <si>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</si>
  <si>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</si>
  <si>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</si>
  <si>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</si>
  <si>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</si>
  <si>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</si>
  <si>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</si>
  <si>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</si>
  <si>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</si>
  <si>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</si>
  <si>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</si>
  <si>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</si>
  <si>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</si>
  <si>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</si>
  <si>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</si>
  <si>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</si>
  <si>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</si>
  <si>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</si>
  <si>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</si>
  <si>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</si>
  <si>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</si>
  <si>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</si>
  <si>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</si>
  <si>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</si>
  <si>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</si>
  <si>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</si>
  <si>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</si>
  <si>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</si>
  <si>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</si>
  <si>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</si>
  <si>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</si>
  <si>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</si>
  <si>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</si>
  <si>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</si>
  <si>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</si>
  <si>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</si>
  <si>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</si>
  <si>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</si>
  <si>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</si>
  <si>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</si>
  <si>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</si>
  <si>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</si>
  <si>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</si>
  <si>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</si>
  <si>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</si>
  <si>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</si>
  <si>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</si>
  <si>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</si>
  <si>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</si>
  <si>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</si>
  <si>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</si>
  <si>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</si>
  <si>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</si>
  <si>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</si>
  <si>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</si>
  <si>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</si>
  <si>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</si>
  <si>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</si>
  <si>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</si>
  <si>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</si>
  <si>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</si>
  <si>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</si>
  <si>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</si>
  <si>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</si>
  <si>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</si>
  <si>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</si>
  <si>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</si>
  <si>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</si>
  <si>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</si>
  <si>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</si>
  <si>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</si>
  <si>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</si>
  <si>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</si>
  <si>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</si>
  <si>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</si>
  <si>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</si>
  <si>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</si>
  <si>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</si>
  <si>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</si>
  <si>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</si>
  <si>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</si>
  <si>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</si>
  <si>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</si>
  <si>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</si>
  <si>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</si>
  <si>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</si>
  <si>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</si>
  <si>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</si>
  <si>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</si>
  <si>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</si>
  <si>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</si>
  <si>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</si>
  <si>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</si>
  <si>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</si>
  <si>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</si>
  <si>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</si>
  <si>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</si>
  <si>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</si>
  <si>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</si>
  <si>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</si>
  <si>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</si>
  <si>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</si>
  <si>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</si>
  <si>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</si>
  <si>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</si>
  <si>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</si>
  <si>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</si>
  <si>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</si>
  <si>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</si>
  <si>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</si>
  <si>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</si>
  <si>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</si>
  <si>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</si>
  <si>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</si>
  <si>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</si>
  <si>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</si>
  <si>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</si>
  <si>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</si>
  <si>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</si>
  <si>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</si>
  <si>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</si>
  <si>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</si>
  <si>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</si>
  <si>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</si>
  <si>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</si>
  <si>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</si>
  <si>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</si>
  <si>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</si>
  <si>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</si>
  <si>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</si>
  <si>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</si>
  <si>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</si>
  <si>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</si>
  <si>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</si>
  <si>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</si>
  <si>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</si>
  <si>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</si>
  <si>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</si>
  <si>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</si>
  <si>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</si>
  <si>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</si>
  <si>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</si>
  <si>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</si>
  <si>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</si>
  <si>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</si>
  <si>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</si>
  <si>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</si>
  <si>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</si>
  <si>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</si>
  <si>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</si>
  <si>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</si>
  <si>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</si>
  <si>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</si>
  <si>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</si>
  <si>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</si>
  <si>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</si>
  <si>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</si>
  <si>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</si>
  <si>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</si>
  <si>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</si>
  <si>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</si>
  <si>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</si>
  <si>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</si>
  <si>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</si>
  <si>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</si>
  <si>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</si>
  <si>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</si>
  <si>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</si>
  <si>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</si>
  <si>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</si>
  <si>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</si>
  <si>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</si>
  <si>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</si>
  <si>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</si>
  <si>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</si>
  <si>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</si>
  <si>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</si>
  <si>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</si>
  <si>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</si>
  <si>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</si>
  <si>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</si>
  <si>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</si>
  <si>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</si>
  <si>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</si>
  <si>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</si>
  <si>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</si>
  <si>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</si>
  <si>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</si>
  <si>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43002</t>
  </si>
  <si>
    <t>ASSENEDE</t>
  </si>
  <si>
    <t>Cultuurgrond (ha)</t>
  </si>
  <si>
    <t>Paarden&amp;pony's 200 - 600 kg</t>
  </si>
  <si>
    <t>Paarden&amp;pony's &lt; 200 kg</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</si>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</sst>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141451.0409576713</c:v>
                </c:pt>
                <c:pt idx="1">
                  <c:v>21395.797588622641</c:v>
                </c:pt>
                <c:pt idx="2">
                  <c:v>1070.8910000000001</c:v>
                </c:pt>
                <c:pt idx="3">
                  <c:v>43487.888040863276</c:v>
                </c:pt>
                <c:pt idx="4">
                  <c:v>11691.195730750411</c:v>
                </c:pt>
                <c:pt idx="5">
                  <c:v>112551.93993721681</c:v>
                </c:pt>
                <c:pt idx="6">
                  <c:v>1547.6113675851593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141451.0409576713</c:v>
                </c:pt>
                <c:pt idx="1">
                  <c:v>21395.797588622641</c:v>
                </c:pt>
                <c:pt idx="2">
                  <c:v>1070.8910000000001</c:v>
                </c:pt>
                <c:pt idx="3">
                  <c:v>43487.888040863276</c:v>
                </c:pt>
                <c:pt idx="4">
                  <c:v>11691.195730750411</c:v>
                </c:pt>
                <c:pt idx="5">
                  <c:v>112551.93993721681</c:v>
                </c:pt>
                <c:pt idx="6">
                  <c:v>1547.6113675851593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29131.436898319098</c:v>
                </c:pt>
                <c:pt idx="2">
                  <c:v>4242.2297812856614</c:v>
                </c:pt>
                <c:pt idx="3">
                  <c:v>216.44055262102333</c:v>
                </c:pt>
                <c:pt idx="4">
                  <c:v>10737.422927468459</c:v>
                </c:pt>
                <c:pt idx="5">
                  <c:v>2372.0772495727824</c:v>
                </c:pt>
                <c:pt idx="6">
                  <c:v>28428.119581465471</c:v>
                </c:pt>
                <c:pt idx="7">
                  <c:v>395.61812928698339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29131.436898319098</c:v>
                </c:pt>
                <c:pt idx="2">
                  <c:v>4242.2297812856614</c:v>
                </c:pt>
                <c:pt idx="3">
                  <c:v>216.44055262102333</c:v>
                </c:pt>
                <c:pt idx="4">
                  <c:v>10737.422927468459</c:v>
                </c:pt>
                <c:pt idx="5">
                  <c:v>2372.0772495727824</c:v>
                </c:pt>
                <c:pt idx="6">
                  <c:v>28428.119581465471</c:v>
                </c:pt>
                <c:pt idx="7">
                  <c:v>395.61812928698339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43002</v>
      </c>
      <c r="B6" s="398"/>
      <c r="C6" s="399"/>
    </row>
    <row r="7" spans="1:7" s="396" customFormat="1" ht="15.75" customHeight="1">
      <c r="A7" s="400" t="str">
        <f>txtMunicipality</f>
        <v>ASSENEDE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10231.808337359333</v>
      </c>
      <c r="D10" s="690">
        <f ca="1">tertiair!C16</f>
        <v>0</v>
      </c>
      <c r="E10" s="690">
        <f ca="1">tertiair!D16</f>
        <v>9230.9846730639492</v>
      </c>
      <c r="F10" s="690">
        <f>tertiair!E16</f>
        <v>128.55783969418371</v>
      </c>
      <c r="G10" s="690">
        <f ca="1">tertiair!F16</f>
        <v>1860.8671401218414</v>
      </c>
      <c r="H10" s="690">
        <f>tertiair!G16</f>
        <v>0</v>
      </c>
      <c r="I10" s="690">
        <f>tertiair!H16</f>
        <v>0</v>
      </c>
      <c r="J10" s="690">
        <f>tertiair!I16</f>
        <v>0</v>
      </c>
      <c r="K10" s="690">
        <f>tertiair!J16</f>
        <v>0</v>
      </c>
      <c r="L10" s="690">
        <f>tertiair!K16</f>
        <v>0</v>
      </c>
      <c r="M10" s="690">
        <f ca="1">tertiair!L16</f>
        <v>0</v>
      </c>
      <c r="N10" s="690">
        <f>tertiair!M16</f>
        <v>0</v>
      </c>
      <c r="O10" s="690">
        <f ca="1">tertiair!N16</f>
        <v>992.27726504999691</v>
      </c>
      <c r="P10" s="690">
        <f>tertiair!O16</f>
        <v>3.1266666666666669</v>
      </c>
      <c r="Q10" s="691">
        <f>tertiair!P16</f>
        <v>19.066666666666666</v>
      </c>
      <c r="R10" s="693">
        <f ca="1">SUM(C10:Q10)</f>
        <v>22466.688588622637</v>
      </c>
      <c r="S10" s="67"/>
    </row>
    <row r="11" spans="1:19" s="458" customFormat="1">
      <c r="A11" s="805" t="s">
        <v>225</v>
      </c>
      <c r="B11" s="810"/>
      <c r="C11" s="690">
        <f>huishoudens!B8</f>
        <v>28376.391286440201</v>
      </c>
      <c r="D11" s="690">
        <f>huishoudens!C8</f>
        <v>0</v>
      </c>
      <c r="E11" s="690">
        <f>huishoudens!D8</f>
        <v>39079.804551276633</v>
      </c>
      <c r="F11" s="690">
        <f>huishoudens!E8</f>
        <v>6254.4536922600773</v>
      </c>
      <c r="G11" s="690">
        <f>huishoudens!F8</f>
        <v>41566.572213457526</v>
      </c>
      <c r="H11" s="690">
        <f>huishoudens!G8</f>
        <v>0</v>
      </c>
      <c r="I11" s="690">
        <f>huishoudens!H8</f>
        <v>0</v>
      </c>
      <c r="J11" s="690">
        <f>huishoudens!I8</f>
        <v>0</v>
      </c>
      <c r="K11" s="690">
        <f>huishoudens!J8</f>
        <v>8429.5330465501756</v>
      </c>
      <c r="L11" s="690">
        <f>huishoudens!K8</f>
        <v>0</v>
      </c>
      <c r="M11" s="690">
        <f>huishoudens!L8</f>
        <v>0</v>
      </c>
      <c r="N11" s="690">
        <f>huishoudens!M8</f>
        <v>0</v>
      </c>
      <c r="O11" s="690">
        <f>huishoudens!N8</f>
        <v>17134.706167686662</v>
      </c>
      <c r="P11" s="690">
        <f>huishoudens!O8</f>
        <v>228.2466666666667</v>
      </c>
      <c r="Q11" s="691">
        <f>huishoudens!P8</f>
        <v>381.33333333333337</v>
      </c>
      <c r="R11" s="693">
        <f>SUM(C11:Q11)</f>
        <v>141451.0409576713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4029.9721602026766</v>
      </c>
      <c r="D13" s="690">
        <f>industrie!C18</f>
        <v>0</v>
      </c>
      <c r="E13" s="690">
        <f>industrie!D18</f>
        <v>5222.81341112471</v>
      </c>
      <c r="F13" s="690">
        <f>industrie!E18</f>
        <v>305.58745375073147</v>
      </c>
      <c r="G13" s="690">
        <f>industrie!F18</f>
        <v>1619.6012176797353</v>
      </c>
      <c r="H13" s="690">
        <f>industrie!G18</f>
        <v>0</v>
      </c>
      <c r="I13" s="690">
        <f>industrie!H18</f>
        <v>0</v>
      </c>
      <c r="J13" s="690">
        <f>industrie!I18</f>
        <v>0</v>
      </c>
      <c r="K13" s="690">
        <f>industrie!J18</f>
        <v>2.1439441465516791</v>
      </c>
      <c r="L13" s="690">
        <f>industrie!K18</f>
        <v>0</v>
      </c>
      <c r="M13" s="690">
        <f>industrie!L18</f>
        <v>0</v>
      </c>
      <c r="N13" s="690">
        <f>industrie!M18</f>
        <v>0</v>
      </c>
      <c r="O13" s="690">
        <f>industrie!N18</f>
        <v>511.07754384600651</v>
      </c>
      <c r="P13" s="690">
        <f>industrie!O18</f>
        <v>0</v>
      </c>
      <c r="Q13" s="691">
        <f>industrie!P18</f>
        <v>0</v>
      </c>
      <c r="R13" s="693">
        <f>SUM(C13:Q13)</f>
        <v>11691.195730750411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42638.17178400221</v>
      </c>
      <c r="D16" s="725">
        <f t="shared" ref="D16:R16" ca="1" si="0">SUM(D9:D15)</f>
        <v>0</v>
      </c>
      <c r="E16" s="725">
        <f t="shared" ca="1" si="0"/>
        <v>53533.602635465293</v>
      </c>
      <c r="F16" s="725">
        <f t="shared" si="0"/>
        <v>6688.5989857049926</v>
      </c>
      <c r="G16" s="725">
        <f t="shared" ca="1" si="0"/>
        <v>45047.040571259102</v>
      </c>
      <c r="H16" s="725">
        <f t="shared" si="0"/>
        <v>0</v>
      </c>
      <c r="I16" s="725">
        <f t="shared" si="0"/>
        <v>0</v>
      </c>
      <c r="J16" s="725">
        <f t="shared" si="0"/>
        <v>0</v>
      </c>
      <c r="K16" s="725">
        <f t="shared" si="0"/>
        <v>8431.6769906967274</v>
      </c>
      <c r="L16" s="725">
        <f t="shared" si="0"/>
        <v>0</v>
      </c>
      <c r="M16" s="725">
        <f t="shared" ca="1" si="0"/>
        <v>0</v>
      </c>
      <c r="N16" s="725">
        <f t="shared" si="0"/>
        <v>0</v>
      </c>
      <c r="O16" s="725">
        <f t="shared" ca="1" si="0"/>
        <v>18638.060976582667</v>
      </c>
      <c r="P16" s="725">
        <f t="shared" si="0"/>
        <v>231.37333333333336</v>
      </c>
      <c r="Q16" s="725">
        <f t="shared" si="0"/>
        <v>400.40000000000003</v>
      </c>
      <c r="R16" s="725">
        <f t="shared" ca="1" si="0"/>
        <v>175608.92527704436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1481.7158400261549</v>
      </c>
      <c r="I19" s="690">
        <f>transport!H54</f>
        <v>0</v>
      </c>
      <c r="J19" s="690">
        <f>transport!I54</f>
        <v>0</v>
      </c>
      <c r="K19" s="690">
        <f>transport!J54</f>
        <v>0</v>
      </c>
      <c r="L19" s="690">
        <f>transport!K54</f>
        <v>0</v>
      </c>
      <c r="M19" s="690">
        <f>transport!L54</f>
        <v>0</v>
      </c>
      <c r="N19" s="690">
        <f>transport!M54</f>
        <v>65.895527559004336</v>
      </c>
      <c r="O19" s="690">
        <f>transport!N54</f>
        <v>0</v>
      </c>
      <c r="P19" s="690">
        <f>transport!O54</f>
        <v>0</v>
      </c>
      <c r="Q19" s="691">
        <f>transport!P54</f>
        <v>0</v>
      </c>
      <c r="R19" s="693">
        <f>SUM(C19:Q19)</f>
        <v>1547.6113675851593</v>
      </c>
      <c r="S19" s="67"/>
    </row>
    <row r="20" spans="1:19" s="458" customFormat="1">
      <c r="A20" s="805" t="s">
        <v>307</v>
      </c>
      <c r="B20" s="810"/>
      <c r="C20" s="690">
        <f>transport!B14</f>
        <v>6.9117755106460974</v>
      </c>
      <c r="D20" s="690">
        <f>transport!C14</f>
        <v>0</v>
      </c>
      <c r="E20" s="690">
        <f>transport!D14</f>
        <v>11.608919494895961</v>
      </c>
      <c r="F20" s="690">
        <f>transport!E14</f>
        <v>354.31045054370537</v>
      </c>
      <c r="G20" s="690">
        <f>transport!F14</f>
        <v>0</v>
      </c>
      <c r="H20" s="690">
        <f>transport!G14</f>
        <v>89978.453288513818</v>
      </c>
      <c r="I20" s="690">
        <f>transport!H14</f>
        <v>17348.201295491432</v>
      </c>
      <c r="J20" s="690">
        <f>transport!I14</f>
        <v>0</v>
      </c>
      <c r="K20" s="690">
        <f>transport!J14</f>
        <v>0</v>
      </c>
      <c r="L20" s="690">
        <f>transport!K14</f>
        <v>0</v>
      </c>
      <c r="M20" s="690">
        <f>transport!L14</f>
        <v>0</v>
      </c>
      <c r="N20" s="690">
        <f>transport!M14</f>
        <v>4852.4542076623211</v>
      </c>
      <c r="O20" s="690">
        <f>transport!N14</f>
        <v>0</v>
      </c>
      <c r="P20" s="690">
        <f>transport!O14</f>
        <v>0</v>
      </c>
      <c r="Q20" s="691">
        <f>transport!P14</f>
        <v>0</v>
      </c>
      <c r="R20" s="693">
        <f>SUM(C20:Q20)</f>
        <v>112551.93993721681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6.9117755106460974</v>
      </c>
      <c r="D22" s="808">
        <f t="shared" ref="D22:R22" si="1">SUM(D18:D21)</f>
        <v>0</v>
      </c>
      <c r="E22" s="808">
        <f t="shared" si="1"/>
        <v>11.608919494895961</v>
      </c>
      <c r="F22" s="808">
        <f t="shared" si="1"/>
        <v>354.31045054370537</v>
      </c>
      <c r="G22" s="808">
        <f t="shared" si="1"/>
        <v>0</v>
      </c>
      <c r="H22" s="808">
        <f t="shared" si="1"/>
        <v>91460.169128539972</v>
      </c>
      <c r="I22" s="808">
        <f t="shared" si="1"/>
        <v>17348.201295491432</v>
      </c>
      <c r="J22" s="808">
        <f t="shared" si="1"/>
        <v>0</v>
      </c>
      <c r="K22" s="808">
        <f t="shared" si="1"/>
        <v>0</v>
      </c>
      <c r="L22" s="808">
        <f t="shared" si="1"/>
        <v>0</v>
      </c>
      <c r="M22" s="808">
        <f t="shared" si="1"/>
        <v>0</v>
      </c>
      <c r="N22" s="808">
        <f t="shared" si="1"/>
        <v>4918.3497352213253</v>
      </c>
      <c r="O22" s="808">
        <f t="shared" si="1"/>
        <v>0</v>
      </c>
      <c r="P22" s="808">
        <f t="shared" si="1"/>
        <v>0</v>
      </c>
      <c r="Q22" s="808">
        <f t="shared" si="1"/>
        <v>0</v>
      </c>
      <c r="R22" s="808">
        <f t="shared" si="1"/>
        <v>114099.55130480198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6690.239163592646</v>
      </c>
      <c r="D24" s="690">
        <f>+landbouw!C8</f>
        <v>9119.5178571428569</v>
      </c>
      <c r="E24" s="690">
        <f>+landbouw!D8</f>
        <v>3504.6883501859302</v>
      </c>
      <c r="F24" s="690">
        <f>+landbouw!E8</f>
        <v>84.30563224168543</v>
      </c>
      <c r="G24" s="690">
        <f>+landbouw!F8</f>
        <v>23083.001119450517</v>
      </c>
      <c r="H24" s="690">
        <f>+landbouw!G8</f>
        <v>0</v>
      </c>
      <c r="I24" s="690">
        <f>+landbouw!H8</f>
        <v>0</v>
      </c>
      <c r="J24" s="690">
        <f>+landbouw!I8</f>
        <v>0</v>
      </c>
      <c r="K24" s="690">
        <f>+landbouw!J8</f>
        <v>1006.1359182496453</v>
      </c>
      <c r="L24" s="690">
        <f>+landbouw!K8</f>
        <v>0</v>
      </c>
      <c r="M24" s="690">
        <f>+landbouw!L8</f>
        <v>0</v>
      </c>
      <c r="N24" s="690">
        <f>+landbouw!M8</f>
        <v>0</v>
      </c>
      <c r="O24" s="690">
        <f>+landbouw!N8</f>
        <v>0</v>
      </c>
      <c r="P24" s="690">
        <f>+landbouw!O8</f>
        <v>0</v>
      </c>
      <c r="Q24" s="691">
        <f>+landbouw!P8</f>
        <v>0</v>
      </c>
      <c r="R24" s="693">
        <f>SUM(C24:Q24)</f>
        <v>43487.888040863276</v>
      </c>
      <c r="S24" s="67"/>
    </row>
    <row r="25" spans="1:19" s="458" customFormat="1" ht="15" thickBot="1">
      <c r="A25" s="827" t="s">
        <v>872</v>
      </c>
      <c r="B25" s="1004"/>
      <c r="C25" s="1005">
        <f>IF(Onbekend_ele_kWh="---",0,Onbekend_ele_kWh)/1000+IF(REST_rest_ele_kWh="---",0,REST_rest_ele_kWh)/1000</f>
        <v>845.53178309638599</v>
      </c>
      <c r="D25" s="1005"/>
      <c r="E25" s="1005">
        <f>IF(onbekend_gas_kWh="---",0,onbekend_gas_kWh)/1000+IF(REST_rest_gas_kWh="---",0,REST_rest_gas_kWh)/1000</f>
        <v>1938.63622023433</v>
      </c>
      <c r="F25" s="1005"/>
      <c r="G25" s="1005"/>
      <c r="H25" s="1005"/>
      <c r="I25" s="1005"/>
      <c r="J25" s="1005"/>
      <c r="K25" s="1005"/>
      <c r="L25" s="1005"/>
      <c r="M25" s="1005"/>
      <c r="N25" s="1005"/>
      <c r="O25" s="1005"/>
      <c r="P25" s="1005"/>
      <c r="Q25" s="1006"/>
      <c r="R25" s="693">
        <f>SUM(C25:Q25)</f>
        <v>2784.1680033307161</v>
      </c>
      <c r="S25" s="67"/>
    </row>
    <row r="26" spans="1:19" s="458" customFormat="1" ht="15.75" thickBot="1">
      <c r="A26" s="698" t="s">
        <v>873</v>
      </c>
      <c r="B26" s="813"/>
      <c r="C26" s="808">
        <f>SUM(C24:C25)</f>
        <v>7535.7709466890319</v>
      </c>
      <c r="D26" s="808">
        <f t="shared" ref="D26:R26" si="2">SUM(D24:D25)</f>
        <v>9119.5178571428569</v>
      </c>
      <c r="E26" s="808">
        <f t="shared" si="2"/>
        <v>5443.32457042026</v>
      </c>
      <c r="F26" s="808">
        <f t="shared" si="2"/>
        <v>84.30563224168543</v>
      </c>
      <c r="G26" s="808">
        <f t="shared" si="2"/>
        <v>23083.001119450517</v>
      </c>
      <c r="H26" s="808">
        <f t="shared" si="2"/>
        <v>0</v>
      </c>
      <c r="I26" s="808">
        <f t="shared" si="2"/>
        <v>0</v>
      </c>
      <c r="J26" s="808">
        <f t="shared" si="2"/>
        <v>0</v>
      </c>
      <c r="K26" s="808">
        <f t="shared" si="2"/>
        <v>1006.1359182496453</v>
      </c>
      <c r="L26" s="808">
        <f t="shared" si="2"/>
        <v>0</v>
      </c>
      <c r="M26" s="808">
        <f t="shared" si="2"/>
        <v>0</v>
      </c>
      <c r="N26" s="808">
        <f t="shared" si="2"/>
        <v>0</v>
      </c>
      <c r="O26" s="808">
        <f t="shared" si="2"/>
        <v>0</v>
      </c>
      <c r="P26" s="808">
        <f t="shared" si="2"/>
        <v>0</v>
      </c>
      <c r="Q26" s="808">
        <f t="shared" si="2"/>
        <v>0</v>
      </c>
      <c r="R26" s="808">
        <f t="shared" si="2"/>
        <v>46272.056044193989</v>
      </c>
      <c r="S26" s="67"/>
    </row>
    <row r="27" spans="1:19" s="458" customFormat="1" ht="17.25" thickTop="1" thickBot="1">
      <c r="A27" s="699" t="s">
        <v>116</v>
      </c>
      <c r="B27" s="800"/>
      <c r="C27" s="700">
        <f ca="1">C22+C16+C26</f>
        <v>50180.854506201889</v>
      </c>
      <c r="D27" s="700">
        <f t="shared" ref="D27:R27" ca="1" si="3">D22+D16+D26</f>
        <v>9119.5178571428569</v>
      </c>
      <c r="E27" s="700">
        <f t="shared" ca="1" si="3"/>
        <v>58988.536125380444</v>
      </c>
      <c r="F27" s="700">
        <f t="shared" si="3"/>
        <v>7127.2150684903827</v>
      </c>
      <c r="G27" s="700">
        <f t="shared" ca="1" si="3"/>
        <v>68130.041690709622</v>
      </c>
      <c r="H27" s="700">
        <f t="shared" si="3"/>
        <v>91460.169128539972</v>
      </c>
      <c r="I27" s="700">
        <f t="shared" si="3"/>
        <v>17348.201295491432</v>
      </c>
      <c r="J27" s="700">
        <f t="shared" si="3"/>
        <v>0</v>
      </c>
      <c r="K27" s="700">
        <f t="shared" si="3"/>
        <v>9437.8129089463728</v>
      </c>
      <c r="L27" s="700">
        <f t="shared" si="3"/>
        <v>0</v>
      </c>
      <c r="M27" s="700">
        <f t="shared" ca="1" si="3"/>
        <v>0</v>
      </c>
      <c r="N27" s="700">
        <f t="shared" si="3"/>
        <v>4918.3497352213253</v>
      </c>
      <c r="O27" s="700">
        <f t="shared" ca="1" si="3"/>
        <v>18638.060976582667</v>
      </c>
      <c r="P27" s="700">
        <f t="shared" si="3"/>
        <v>231.37333333333336</v>
      </c>
      <c r="Q27" s="700">
        <f t="shared" si="3"/>
        <v>400.40000000000003</v>
      </c>
      <c r="R27" s="700">
        <f t="shared" ca="1" si="3"/>
        <v>335980.53262604034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2067.977273924655</v>
      </c>
      <c r="D40" s="690">
        <f ca="1">tertiair!C20</f>
        <v>0</v>
      </c>
      <c r="E40" s="690">
        <f ca="1">tertiair!D20</f>
        <v>1864.6589039589178</v>
      </c>
      <c r="F40" s="690">
        <f>tertiair!E20</f>
        <v>29.182629610579703</v>
      </c>
      <c r="G40" s="690">
        <f ca="1">tertiair!F20</f>
        <v>496.85152641253171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4458.6703339066844</v>
      </c>
    </row>
    <row r="41" spans="1:18">
      <c r="A41" s="818" t="s">
        <v>225</v>
      </c>
      <c r="B41" s="825"/>
      <c r="C41" s="690">
        <f ca="1">huishoudens!B12</f>
        <v>5735.2259113462596</v>
      </c>
      <c r="D41" s="690">
        <f ca="1">huishoudens!C12</f>
        <v>0</v>
      </c>
      <c r="E41" s="690">
        <f>huishoudens!D12</f>
        <v>7894.1205193578808</v>
      </c>
      <c r="F41" s="690">
        <f>huishoudens!E12</f>
        <v>1419.7609881430376</v>
      </c>
      <c r="G41" s="690">
        <f>huishoudens!F12</f>
        <v>11098.274780993161</v>
      </c>
      <c r="H41" s="690">
        <f>huishoudens!G12</f>
        <v>0</v>
      </c>
      <c r="I41" s="690">
        <f>huishoudens!H12</f>
        <v>0</v>
      </c>
      <c r="J41" s="690">
        <f>huishoudens!I12</f>
        <v>0</v>
      </c>
      <c r="K41" s="690">
        <f>huishoudens!J12</f>
        <v>2984.054698478762</v>
      </c>
      <c r="L41" s="690">
        <f>huishoudens!K12</f>
        <v>0</v>
      </c>
      <c r="M41" s="690">
        <f>huishoudens!L12</f>
        <v>0</v>
      </c>
      <c r="N41" s="690">
        <f>huishoudens!M12</f>
        <v>0</v>
      </c>
      <c r="O41" s="690">
        <f>huishoudens!N12</f>
        <v>0</v>
      </c>
      <c r="P41" s="690">
        <f>huishoudens!O12</f>
        <v>0</v>
      </c>
      <c r="Q41" s="767">
        <f>huishoudens!P12</f>
        <v>0</v>
      </c>
      <c r="R41" s="846">
        <f t="shared" ca="1" si="4"/>
        <v>29131.436898319098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814.50810717580623</v>
      </c>
      <c r="D43" s="690">
        <f ca="1">industrie!C22</f>
        <v>0</v>
      </c>
      <c r="E43" s="690">
        <f>industrie!D22</f>
        <v>1055.0083090471915</v>
      </c>
      <c r="F43" s="690">
        <f>industrie!E22</f>
        <v>69.368352001416042</v>
      </c>
      <c r="G43" s="690">
        <f>industrie!F22</f>
        <v>432.43352512048938</v>
      </c>
      <c r="H43" s="690">
        <f>industrie!G22</f>
        <v>0</v>
      </c>
      <c r="I43" s="690">
        <f>industrie!H22</f>
        <v>0</v>
      </c>
      <c r="J43" s="690">
        <f>industrie!I22</f>
        <v>0</v>
      </c>
      <c r="K43" s="690">
        <f>industrie!J22</f>
        <v>0.7589562278792944</v>
      </c>
      <c r="L43" s="690">
        <f>industrie!K22</f>
        <v>0</v>
      </c>
      <c r="M43" s="690">
        <f>industrie!L22</f>
        <v>0</v>
      </c>
      <c r="N43" s="690">
        <f>industrie!M22</f>
        <v>0</v>
      </c>
      <c r="O43" s="690">
        <f>industrie!N22</f>
        <v>0</v>
      </c>
      <c r="P43" s="690">
        <f>industrie!O22</f>
        <v>0</v>
      </c>
      <c r="Q43" s="767">
        <f>industrie!P22</f>
        <v>0</v>
      </c>
      <c r="R43" s="845">
        <f t="shared" ca="1" si="4"/>
        <v>2372.0772495727824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8617.7112924467219</v>
      </c>
      <c r="D46" s="725">
        <f t="shared" ref="D46:Q46" ca="1" si="5">SUM(D39:D45)</f>
        <v>0</v>
      </c>
      <c r="E46" s="725">
        <f t="shared" ca="1" si="5"/>
        <v>10813.78773236399</v>
      </c>
      <c r="F46" s="725">
        <f t="shared" si="5"/>
        <v>1518.3119697550333</v>
      </c>
      <c r="G46" s="725">
        <f t="shared" ca="1" si="5"/>
        <v>12027.559832526182</v>
      </c>
      <c r="H46" s="725">
        <f t="shared" si="5"/>
        <v>0</v>
      </c>
      <c r="I46" s="725">
        <f t="shared" si="5"/>
        <v>0</v>
      </c>
      <c r="J46" s="725">
        <f t="shared" si="5"/>
        <v>0</v>
      </c>
      <c r="K46" s="725">
        <f t="shared" si="5"/>
        <v>2984.8136547066415</v>
      </c>
      <c r="L46" s="725">
        <f t="shared" si="5"/>
        <v>0</v>
      </c>
      <c r="M46" s="725">
        <f t="shared" ca="1" si="5"/>
        <v>0</v>
      </c>
      <c r="N46" s="725">
        <f t="shared" si="5"/>
        <v>0</v>
      </c>
      <c r="O46" s="725">
        <f t="shared" ca="1" si="5"/>
        <v>0</v>
      </c>
      <c r="P46" s="725">
        <f t="shared" si="5"/>
        <v>0</v>
      </c>
      <c r="Q46" s="725">
        <f t="shared" si="5"/>
        <v>0</v>
      </c>
      <c r="R46" s="725">
        <f ca="1">SUM(R39:R45)</f>
        <v>35962.184481798562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395.61812928698339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395.61812928698339</v>
      </c>
    </row>
    <row r="50" spans="1:18">
      <c r="A50" s="821" t="s">
        <v>307</v>
      </c>
      <c r="B50" s="831"/>
      <c r="C50" s="696">
        <f ca="1">transport!B18</f>
        <v>1.3969568435225403</v>
      </c>
      <c r="D50" s="696">
        <f>transport!C18</f>
        <v>0</v>
      </c>
      <c r="E50" s="696">
        <f>transport!D18</f>
        <v>2.345001737968984</v>
      </c>
      <c r="F50" s="696">
        <f>transport!E18</f>
        <v>80.428472273421121</v>
      </c>
      <c r="G50" s="696">
        <f>transport!F18</f>
        <v>0</v>
      </c>
      <c r="H50" s="696">
        <f>transport!G18</f>
        <v>24024.247028033191</v>
      </c>
      <c r="I50" s="696">
        <f>transport!H18</f>
        <v>4319.702122577366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28428.119581465471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1.3969568435225403</v>
      </c>
      <c r="D52" s="725">
        <f t="shared" ref="D52:Q52" ca="1" si="6">SUM(D48:D51)</f>
        <v>0</v>
      </c>
      <c r="E52" s="725">
        <f t="shared" si="6"/>
        <v>2.345001737968984</v>
      </c>
      <c r="F52" s="725">
        <f t="shared" si="6"/>
        <v>80.428472273421121</v>
      </c>
      <c r="G52" s="725">
        <f t="shared" si="6"/>
        <v>0</v>
      </c>
      <c r="H52" s="725">
        <f t="shared" si="6"/>
        <v>24419.865157320175</v>
      </c>
      <c r="I52" s="725">
        <f t="shared" si="6"/>
        <v>4319.702122577366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28823.737710752455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1352.18155884661</v>
      </c>
      <c r="D54" s="696">
        <f ca="1">+landbouw!C12</f>
        <v>2138.8235294117649</v>
      </c>
      <c r="E54" s="696">
        <f>+landbouw!D12</f>
        <v>707.94704673755791</v>
      </c>
      <c r="F54" s="696">
        <f>+landbouw!E12</f>
        <v>19.137378518862594</v>
      </c>
      <c r="G54" s="696">
        <f>+landbouw!F12</f>
        <v>6163.1612988932884</v>
      </c>
      <c r="H54" s="696">
        <f>+landbouw!G12</f>
        <v>0</v>
      </c>
      <c r="I54" s="696">
        <f>+landbouw!H12</f>
        <v>0</v>
      </c>
      <c r="J54" s="696">
        <f>+landbouw!I12</f>
        <v>0</v>
      </c>
      <c r="K54" s="696">
        <f>+landbouw!J12</f>
        <v>356.17211506037444</v>
      </c>
      <c r="L54" s="696">
        <f>+landbouw!K12</f>
        <v>0</v>
      </c>
      <c r="M54" s="696">
        <f>+landbouw!L12</f>
        <v>0</v>
      </c>
      <c r="N54" s="696">
        <f>+landbouw!M12</f>
        <v>0</v>
      </c>
      <c r="O54" s="696">
        <f>+landbouw!N12</f>
        <v>0</v>
      </c>
      <c r="P54" s="696">
        <f>+landbouw!O12</f>
        <v>0</v>
      </c>
      <c r="Q54" s="697">
        <f>+landbouw!P12</f>
        <v>0</v>
      </c>
      <c r="R54" s="724">
        <f ca="1">SUM(C54:Q54)</f>
        <v>10737.422927468459</v>
      </c>
    </row>
    <row r="55" spans="1:18" ht="15" thickBot="1">
      <c r="A55" s="821" t="s">
        <v>872</v>
      </c>
      <c r="B55" s="831"/>
      <c r="C55" s="696">
        <f ca="1">C25*'EF ele_warmte'!B12</f>
        <v>170.89261782200148</v>
      </c>
      <c r="D55" s="696"/>
      <c r="E55" s="696">
        <f>E25*EF_CO2_aardgas</f>
        <v>391.60451648733471</v>
      </c>
      <c r="F55" s="696"/>
      <c r="G55" s="696"/>
      <c r="H55" s="696"/>
      <c r="I55" s="696"/>
      <c r="J55" s="696"/>
      <c r="K55" s="696"/>
      <c r="L55" s="696"/>
      <c r="M55" s="696"/>
      <c r="N55" s="696"/>
      <c r="O55" s="696"/>
      <c r="P55" s="696"/>
      <c r="Q55" s="697"/>
      <c r="R55" s="724">
        <f ca="1">SUM(C55:Q55)</f>
        <v>562.49713430933616</v>
      </c>
    </row>
    <row r="56" spans="1:18" ht="15.75" thickBot="1">
      <c r="A56" s="819" t="s">
        <v>873</v>
      </c>
      <c r="B56" s="832"/>
      <c r="C56" s="725">
        <f ca="1">SUM(C54:C55)</f>
        <v>1523.0741766686115</v>
      </c>
      <c r="D56" s="725">
        <f t="shared" ref="D56:Q56" ca="1" si="7">SUM(D54:D55)</f>
        <v>2138.8235294117649</v>
      </c>
      <c r="E56" s="725">
        <f t="shared" si="7"/>
        <v>1099.5515632248926</v>
      </c>
      <c r="F56" s="725">
        <f t="shared" si="7"/>
        <v>19.137378518862594</v>
      </c>
      <c r="G56" s="725">
        <f t="shared" si="7"/>
        <v>6163.1612988932884</v>
      </c>
      <c r="H56" s="725">
        <f t="shared" si="7"/>
        <v>0</v>
      </c>
      <c r="I56" s="725">
        <f t="shared" si="7"/>
        <v>0</v>
      </c>
      <c r="J56" s="725">
        <f t="shared" si="7"/>
        <v>0</v>
      </c>
      <c r="K56" s="725">
        <f t="shared" si="7"/>
        <v>356.17211506037444</v>
      </c>
      <c r="L56" s="725">
        <f t="shared" si="7"/>
        <v>0</v>
      </c>
      <c r="M56" s="725">
        <f t="shared" si="7"/>
        <v>0</v>
      </c>
      <c r="N56" s="725">
        <f t="shared" si="7"/>
        <v>0</v>
      </c>
      <c r="O56" s="725">
        <f t="shared" si="7"/>
        <v>0</v>
      </c>
      <c r="P56" s="725">
        <f t="shared" si="7"/>
        <v>0</v>
      </c>
      <c r="Q56" s="726">
        <f t="shared" si="7"/>
        <v>0</v>
      </c>
      <c r="R56" s="727">
        <f ca="1">SUM(R54:R55)</f>
        <v>11299.920061777795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10142.182425958856</v>
      </c>
      <c r="D61" s="733">
        <f t="shared" ref="D61:Q61" ca="1" si="8">D46+D52+D56</f>
        <v>2138.8235294117649</v>
      </c>
      <c r="E61" s="733">
        <f t="shared" ca="1" si="8"/>
        <v>11915.68429732685</v>
      </c>
      <c r="F61" s="733">
        <f t="shared" si="8"/>
        <v>1617.877820547317</v>
      </c>
      <c r="G61" s="733">
        <f t="shared" ca="1" si="8"/>
        <v>18190.721131419472</v>
      </c>
      <c r="H61" s="733">
        <f t="shared" si="8"/>
        <v>24419.865157320175</v>
      </c>
      <c r="I61" s="733">
        <f t="shared" si="8"/>
        <v>4319.702122577366</v>
      </c>
      <c r="J61" s="733">
        <f t="shared" si="8"/>
        <v>0</v>
      </c>
      <c r="K61" s="733">
        <f t="shared" si="8"/>
        <v>3340.9857697670159</v>
      </c>
      <c r="L61" s="733">
        <f t="shared" si="8"/>
        <v>0</v>
      </c>
      <c r="M61" s="733">
        <f t="shared" ca="1" si="8"/>
        <v>0</v>
      </c>
      <c r="N61" s="733">
        <f t="shared" si="8"/>
        <v>0</v>
      </c>
      <c r="O61" s="733">
        <f t="shared" ca="1" si="8"/>
        <v>0</v>
      </c>
      <c r="P61" s="733">
        <f t="shared" si="8"/>
        <v>0</v>
      </c>
      <c r="Q61" s="733">
        <f t="shared" si="8"/>
        <v>0</v>
      </c>
      <c r="R61" s="733">
        <f ca="1">R46+R52+R56</f>
        <v>76085.842254328818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0.20211258906931079</v>
      </c>
      <c r="D63" s="776">
        <f t="shared" ca="1" si="9"/>
        <v>0.23453252276232264</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4679.518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83.662499999999994</v>
      </c>
      <c r="C76" s="743">
        <f>'lokale energieproductie'!B8*IFERROR(SUM(D76:H76)/SUM(D76:O76),0)</f>
        <v>6299.9999999999991</v>
      </c>
      <c r="D76" s="1021">
        <f>'lokale energieproductie'!C8</f>
        <v>7411.7647058823522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98.42647058823529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1497.1764705882354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4763.1805000000004</v>
      </c>
      <c r="C78" s="748">
        <f>SUM(C72:C77)</f>
        <v>6299.9999999999991</v>
      </c>
      <c r="D78" s="749">
        <f t="shared" ref="D78:H78" si="10">SUM(D76:D77)</f>
        <v>7411.7647058823522</v>
      </c>
      <c r="E78" s="749">
        <f t="shared" si="10"/>
        <v>0</v>
      </c>
      <c r="F78" s="749">
        <f t="shared" si="10"/>
        <v>0</v>
      </c>
      <c r="G78" s="749">
        <f t="shared" si="10"/>
        <v>0</v>
      </c>
      <c r="H78" s="749">
        <f t="shared" si="10"/>
        <v>0</v>
      </c>
      <c r="I78" s="749">
        <f>SUM(I76:I77)</f>
        <v>0</v>
      </c>
      <c r="J78" s="749">
        <f>SUM(J76:J77)</f>
        <v>98.42647058823529</v>
      </c>
      <c r="K78" s="749">
        <f t="shared" ref="K78:L78" si="11">SUM(K76:K77)</f>
        <v>0</v>
      </c>
      <c r="L78" s="749">
        <f t="shared" si="11"/>
        <v>0</v>
      </c>
      <c r="M78" s="749">
        <f>SUM(M76:M77)</f>
        <v>0</v>
      </c>
      <c r="N78" s="749">
        <f>SUM(N76:N77)</f>
        <v>0</v>
      </c>
      <c r="O78" s="856">
        <f>SUM(O76:O77)</f>
        <v>0</v>
      </c>
      <c r="P78" s="750">
        <v>0</v>
      </c>
      <c r="Q78" s="750">
        <f>SUM(Q76:Q77)</f>
        <v>1497.1764705882354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119.51785714285715</v>
      </c>
      <c r="C87" s="759">
        <f>'lokale energieproductie'!B17*IFERROR(SUM(D87:H87)/SUM(D87:O87),0)</f>
        <v>9000</v>
      </c>
      <c r="D87" s="770">
        <f>'lokale energieproductie'!C17</f>
        <v>10588.235294117647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140.609243697479</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2138.8235294117649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119.51785714285715</v>
      </c>
      <c r="C90" s="748">
        <f>SUM(C87:C89)</f>
        <v>9000</v>
      </c>
      <c r="D90" s="748">
        <f t="shared" ref="D90:H90" si="12">SUM(D87:D89)</f>
        <v>10588.235294117647</v>
      </c>
      <c r="E90" s="748">
        <f t="shared" si="12"/>
        <v>0</v>
      </c>
      <c r="F90" s="748">
        <f t="shared" si="12"/>
        <v>0</v>
      </c>
      <c r="G90" s="748">
        <f t="shared" si="12"/>
        <v>0</v>
      </c>
      <c r="H90" s="748">
        <f t="shared" si="12"/>
        <v>0</v>
      </c>
      <c r="I90" s="748">
        <f>SUM(I87:I89)</f>
        <v>0</v>
      </c>
      <c r="J90" s="748">
        <f>SUM(J87:J89)</f>
        <v>140.609243697479</v>
      </c>
      <c r="K90" s="748">
        <f t="shared" ref="K90:L90" si="13">SUM(K87:K89)</f>
        <v>0</v>
      </c>
      <c r="L90" s="748">
        <f t="shared" si="13"/>
        <v>0</v>
      </c>
      <c r="M90" s="748">
        <f>SUM(M87:M89)</f>
        <v>0</v>
      </c>
      <c r="N90" s="748">
        <f>SUM(N87:N89)</f>
        <v>0</v>
      </c>
      <c r="O90" s="748">
        <f>SUM(O87:O89)</f>
        <v>0</v>
      </c>
      <c r="P90" s="748">
        <v>0</v>
      </c>
      <c r="Q90" s="748">
        <f>SUM(Q87:Q89)</f>
        <v>2138.8235294117649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28376.391286440201</v>
      </c>
      <c r="C4" s="462">
        <f>huishoudens!C8</f>
        <v>0</v>
      </c>
      <c r="D4" s="462">
        <f>huishoudens!D8</f>
        <v>39079.804551276633</v>
      </c>
      <c r="E4" s="462">
        <f>huishoudens!E8</f>
        <v>6254.4536922600773</v>
      </c>
      <c r="F4" s="462">
        <f>huishoudens!F8</f>
        <v>41566.572213457526</v>
      </c>
      <c r="G4" s="462">
        <f>huishoudens!G8</f>
        <v>0</v>
      </c>
      <c r="H4" s="462">
        <f>huishoudens!H8</f>
        <v>0</v>
      </c>
      <c r="I4" s="462">
        <f>huishoudens!I8</f>
        <v>0</v>
      </c>
      <c r="J4" s="462">
        <f>huishoudens!J8</f>
        <v>8429.5330465501756</v>
      </c>
      <c r="K4" s="462">
        <f>huishoudens!K8</f>
        <v>0</v>
      </c>
      <c r="L4" s="462">
        <f>huishoudens!L8</f>
        <v>0</v>
      </c>
      <c r="M4" s="462">
        <f>huishoudens!M8</f>
        <v>0</v>
      </c>
      <c r="N4" s="462">
        <f>huishoudens!N8</f>
        <v>17134.706167686662</v>
      </c>
      <c r="O4" s="462">
        <f>huishoudens!O8</f>
        <v>228.2466666666667</v>
      </c>
      <c r="P4" s="463">
        <f>huishoudens!P8</f>
        <v>381.33333333333337</v>
      </c>
      <c r="Q4" s="464">
        <f>SUM(B4:P4)</f>
        <v>141451.0409576713</v>
      </c>
    </row>
    <row r="5" spans="1:17">
      <c r="A5" s="461" t="s">
        <v>156</v>
      </c>
      <c r="B5" s="462">
        <f ca="1">tertiair!B16</f>
        <v>9160.917337359333</v>
      </c>
      <c r="C5" s="462">
        <f ca="1">tertiair!C16</f>
        <v>0</v>
      </c>
      <c r="D5" s="462">
        <f ca="1">tertiair!D16</f>
        <v>9230.9846730639492</v>
      </c>
      <c r="E5" s="462">
        <f>tertiair!E16</f>
        <v>128.55783969418371</v>
      </c>
      <c r="F5" s="462">
        <f ca="1">tertiair!F16</f>
        <v>1860.8671401218414</v>
      </c>
      <c r="G5" s="462">
        <f>tertiair!G16</f>
        <v>0</v>
      </c>
      <c r="H5" s="462">
        <f>tertiair!H16</f>
        <v>0</v>
      </c>
      <c r="I5" s="462">
        <f>tertiair!I16</f>
        <v>0</v>
      </c>
      <c r="J5" s="462">
        <f>tertiair!J16</f>
        <v>0</v>
      </c>
      <c r="K5" s="462">
        <f>tertiair!K16</f>
        <v>0</v>
      </c>
      <c r="L5" s="462">
        <f ca="1">tertiair!L16</f>
        <v>0</v>
      </c>
      <c r="M5" s="462">
        <f>tertiair!M16</f>
        <v>0</v>
      </c>
      <c r="N5" s="462">
        <f ca="1">tertiair!N16</f>
        <v>992.27726504999691</v>
      </c>
      <c r="O5" s="462">
        <f>tertiair!O16</f>
        <v>3.1266666666666669</v>
      </c>
      <c r="P5" s="463">
        <f>tertiair!P16</f>
        <v>19.066666666666666</v>
      </c>
      <c r="Q5" s="461">
        <f t="shared" ref="Q5:Q14" ca="1" si="0">SUM(B5:P5)</f>
        <v>21395.797588622641</v>
      </c>
    </row>
    <row r="6" spans="1:17">
      <c r="A6" s="461" t="s">
        <v>194</v>
      </c>
      <c r="B6" s="462">
        <f>'openbare verlichting'!B8</f>
        <v>1070.8910000000001</v>
      </c>
      <c r="C6" s="462"/>
      <c r="D6" s="462"/>
      <c r="E6" s="462"/>
      <c r="F6" s="462"/>
      <c r="G6" s="462"/>
      <c r="H6" s="462"/>
      <c r="I6" s="462"/>
      <c r="J6" s="462"/>
      <c r="K6" s="462"/>
      <c r="L6" s="462"/>
      <c r="M6" s="462"/>
      <c r="N6" s="462"/>
      <c r="O6" s="462"/>
      <c r="P6" s="463"/>
      <c r="Q6" s="461">
        <f t="shared" si="0"/>
        <v>1070.8910000000001</v>
      </c>
    </row>
    <row r="7" spans="1:17">
      <c r="A7" s="461" t="s">
        <v>112</v>
      </c>
      <c r="B7" s="462">
        <f>landbouw!B8</f>
        <v>6690.239163592646</v>
      </c>
      <c r="C7" s="462">
        <f>landbouw!C8</f>
        <v>9119.5178571428569</v>
      </c>
      <c r="D7" s="462">
        <f>landbouw!D8</f>
        <v>3504.6883501859302</v>
      </c>
      <c r="E7" s="462">
        <f>landbouw!E8</f>
        <v>84.30563224168543</v>
      </c>
      <c r="F7" s="462">
        <f>landbouw!F8</f>
        <v>23083.001119450517</v>
      </c>
      <c r="G7" s="462">
        <f>landbouw!G8</f>
        <v>0</v>
      </c>
      <c r="H7" s="462">
        <f>landbouw!H8</f>
        <v>0</v>
      </c>
      <c r="I7" s="462">
        <f>landbouw!I8</f>
        <v>0</v>
      </c>
      <c r="J7" s="462">
        <f>landbouw!J8</f>
        <v>1006.1359182496453</v>
      </c>
      <c r="K7" s="462">
        <f>landbouw!K8</f>
        <v>0</v>
      </c>
      <c r="L7" s="462">
        <f>landbouw!L8</f>
        <v>0</v>
      </c>
      <c r="M7" s="462">
        <f>landbouw!M8</f>
        <v>0</v>
      </c>
      <c r="N7" s="462">
        <f>landbouw!N8</f>
        <v>0</v>
      </c>
      <c r="O7" s="462">
        <f>landbouw!O8</f>
        <v>0</v>
      </c>
      <c r="P7" s="463">
        <f>landbouw!P8</f>
        <v>0</v>
      </c>
      <c r="Q7" s="461">
        <f t="shared" si="0"/>
        <v>43487.888040863276</v>
      </c>
    </row>
    <row r="8" spans="1:17">
      <c r="A8" s="461" t="s">
        <v>657</v>
      </c>
      <c r="B8" s="462">
        <f>industrie!B18</f>
        <v>4029.9721602026766</v>
      </c>
      <c r="C8" s="462">
        <f>industrie!C18</f>
        <v>0</v>
      </c>
      <c r="D8" s="462">
        <f>industrie!D18</f>
        <v>5222.81341112471</v>
      </c>
      <c r="E8" s="462">
        <f>industrie!E18</f>
        <v>305.58745375073147</v>
      </c>
      <c r="F8" s="462">
        <f>industrie!F18</f>
        <v>1619.6012176797353</v>
      </c>
      <c r="G8" s="462">
        <f>industrie!G18</f>
        <v>0</v>
      </c>
      <c r="H8" s="462">
        <f>industrie!H18</f>
        <v>0</v>
      </c>
      <c r="I8" s="462">
        <f>industrie!I18</f>
        <v>0</v>
      </c>
      <c r="J8" s="462">
        <f>industrie!J18</f>
        <v>2.1439441465516791</v>
      </c>
      <c r="K8" s="462">
        <f>industrie!K18</f>
        <v>0</v>
      </c>
      <c r="L8" s="462">
        <f>industrie!L18</f>
        <v>0</v>
      </c>
      <c r="M8" s="462">
        <f>industrie!M18</f>
        <v>0</v>
      </c>
      <c r="N8" s="462">
        <f>industrie!N18</f>
        <v>511.07754384600651</v>
      </c>
      <c r="O8" s="462">
        <f>industrie!O18</f>
        <v>0</v>
      </c>
      <c r="P8" s="463">
        <f>industrie!P18</f>
        <v>0</v>
      </c>
      <c r="Q8" s="461">
        <f t="shared" si="0"/>
        <v>11691.195730750411</v>
      </c>
    </row>
    <row r="9" spans="1:17" s="467" customFormat="1">
      <c r="A9" s="465" t="s">
        <v>574</v>
      </c>
      <c r="B9" s="466">
        <f>transport!B14</f>
        <v>6.9117755106460974</v>
      </c>
      <c r="C9" s="466">
        <f>transport!C14</f>
        <v>0</v>
      </c>
      <c r="D9" s="466">
        <f>transport!D14</f>
        <v>11.608919494895961</v>
      </c>
      <c r="E9" s="466">
        <f>transport!E14</f>
        <v>354.31045054370537</v>
      </c>
      <c r="F9" s="466">
        <f>transport!F14</f>
        <v>0</v>
      </c>
      <c r="G9" s="466">
        <f>transport!G14</f>
        <v>89978.453288513818</v>
      </c>
      <c r="H9" s="466">
        <f>transport!H14</f>
        <v>17348.201295491432</v>
      </c>
      <c r="I9" s="466">
        <f>transport!I14</f>
        <v>0</v>
      </c>
      <c r="J9" s="466">
        <f>transport!J14</f>
        <v>0</v>
      </c>
      <c r="K9" s="466">
        <f>transport!K14</f>
        <v>0</v>
      </c>
      <c r="L9" s="466">
        <f>transport!L14</f>
        <v>0</v>
      </c>
      <c r="M9" s="466">
        <f>transport!M14</f>
        <v>4852.4542076623211</v>
      </c>
      <c r="N9" s="466">
        <f>transport!N14</f>
        <v>0</v>
      </c>
      <c r="O9" s="466">
        <f>transport!O14</f>
        <v>0</v>
      </c>
      <c r="P9" s="466">
        <f>transport!P14</f>
        <v>0</v>
      </c>
      <c r="Q9" s="465">
        <f>SUM(B9:P9)</f>
        <v>112551.93993721681</v>
      </c>
    </row>
    <row r="10" spans="1:17">
      <c r="A10" s="461" t="s">
        <v>564</v>
      </c>
      <c r="B10" s="462">
        <f>transport!B54</f>
        <v>0</v>
      </c>
      <c r="C10" s="462">
        <f>transport!C54</f>
        <v>0</v>
      </c>
      <c r="D10" s="462">
        <f>transport!D54</f>
        <v>0</v>
      </c>
      <c r="E10" s="462">
        <f>transport!E54</f>
        <v>0</v>
      </c>
      <c r="F10" s="462">
        <f>transport!F54</f>
        <v>0</v>
      </c>
      <c r="G10" s="462">
        <f>transport!G54</f>
        <v>1481.7158400261549</v>
      </c>
      <c r="H10" s="462">
        <f>transport!H54</f>
        <v>0</v>
      </c>
      <c r="I10" s="462">
        <f>transport!I54</f>
        <v>0</v>
      </c>
      <c r="J10" s="462">
        <f>transport!J54</f>
        <v>0</v>
      </c>
      <c r="K10" s="462">
        <f>transport!K54</f>
        <v>0</v>
      </c>
      <c r="L10" s="462">
        <f>transport!L54</f>
        <v>0</v>
      </c>
      <c r="M10" s="462">
        <f>transport!M54</f>
        <v>65.895527559004336</v>
      </c>
      <c r="N10" s="462">
        <f>transport!N54</f>
        <v>0</v>
      </c>
      <c r="O10" s="462">
        <f>transport!O54</f>
        <v>0</v>
      </c>
      <c r="P10" s="463">
        <f>transport!P54</f>
        <v>0</v>
      </c>
      <c r="Q10" s="461">
        <f t="shared" si="0"/>
        <v>1547.6113675851593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845.53178309638599</v>
      </c>
      <c r="C14" s="469"/>
      <c r="D14" s="469">
        <f>'SEAP template'!E25</f>
        <v>1938.63622023433</v>
      </c>
      <c r="E14" s="469"/>
      <c r="F14" s="469"/>
      <c r="G14" s="469"/>
      <c r="H14" s="469"/>
      <c r="I14" s="469"/>
      <c r="J14" s="469"/>
      <c r="K14" s="469"/>
      <c r="L14" s="469"/>
      <c r="M14" s="469"/>
      <c r="N14" s="469"/>
      <c r="O14" s="469"/>
      <c r="P14" s="470"/>
      <c r="Q14" s="461">
        <f t="shared" si="0"/>
        <v>2784.1680033307161</v>
      </c>
    </row>
    <row r="15" spans="1:17" s="474" customFormat="1">
      <c r="A15" s="471" t="s">
        <v>568</v>
      </c>
      <c r="B15" s="472">
        <f ca="1">SUM(B4:B14)</f>
        <v>50180.854506201889</v>
      </c>
      <c r="C15" s="472">
        <f t="shared" ref="C15:Q15" ca="1" si="1">SUM(C4:C14)</f>
        <v>9119.5178571428569</v>
      </c>
      <c r="D15" s="472">
        <f t="shared" ca="1" si="1"/>
        <v>58988.536125380444</v>
      </c>
      <c r="E15" s="472">
        <f t="shared" si="1"/>
        <v>7127.2150684903827</v>
      </c>
      <c r="F15" s="472">
        <f t="shared" ca="1" si="1"/>
        <v>68130.041690709622</v>
      </c>
      <c r="G15" s="472">
        <f t="shared" si="1"/>
        <v>91460.169128539972</v>
      </c>
      <c r="H15" s="472">
        <f t="shared" si="1"/>
        <v>17348.201295491432</v>
      </c>
      <c r="I15" s="472">
        <f t="shared" si="1"/>
        <v>0</v>
      </c>
      <c r="J15" s="472">
        <f t="shared" si="1"/>
        <v>9437.8129089463728</v>
      </c>
      <c r="K15" s="472">
        <f t="shared" si="1"/>
        <v>0</v>
      </c>
      <c r="L15" s="472">
        <f t="shared" ca="1" si="1"/>
        <v>0</v>
      </c>
      <c r="M15" s="472">
        <f t="shared" si="1"/>
        <v>4918.3497352213253</v>
      </c>
      <c r="N15" s="472">
        <f t="shared" ca="1" si="1"/>
        <v>18638.060976582667</v>
      </c>
      <c r="O15" s="472">
        <f t="shared" si="1"/>
        <v>231.37333333333336</v>
      </c>
      <c r="P15" s="472">
        <f t="shared" si="1"/>
        <v>400.40000000000003</v>
      </c>
      <c r="Q15" s="472">
        <f t="shared" ca="1" si="1"/>
        <v>335980.53262604028</v>
      </c>
    </row>
    <row r="17" spans="1:17">
      <c r="A17" s="475" t="s">
        <v>569</v>
      </c>
      <c r="B17" s="781">
        <f ca="1">huishoudens!B10</f>
        <v>0.20211258906931079</v>
      </c>
      <c r="C17" s="781">
        <f ca="1">huishoudens!C10</f>
        <v>0.23453252276232264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5735.2259113462596</v>
      </c>
      <c r="C22" s="462">
        <f t="shared" ref="C22:C32" ca="1" si="3">C4*$C$17</f>
        <v>0</v>
      </c>
      <c r="D22" s="462">
        <f t="shared" ref="D22:D32" si="4">D4*$D$17</f>
        <v>7894.1205193578808</v>
      </c>
      <c r="E22" s="462">
        <f t="shared" ref="E22:E32" si="5">E4*$E$17</f>
        <v>1419.7609881430376</v>
      </c>
      <c r="F22" s="462">
        <f t="shared" ref="F22:F32" si="6">F4*$F$17</f>
        <v>11098.274780993161</v>
      </c>
      <c r="G22" s="462">
        <f t="shared" ref="G22:G32" si="7">G4*$G$17</f>
        <v>0</v>
      </c>
      <c r="H22" s="462">
        <f t="shared" ref="H22:H32" si="8">H4*$H$17</f>
        <v>0</v>
      </c>
      <c r="I22" s="462">
        <f t="shared" ref="I22:I32" si="9">I4*$I$17</f>
        <v>0</v>
      </c>
      <c r="J22" s="462">
        <f t="shared" ref="J22:J32" si="10">J4*$J$17</f>
        <v>2984.054698478762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29131.436898319098</v>
      </c>
    </row>
    <row r="23" spans="1:17">
      <c r="A23" s="461" t="s">
        <v>156</v>
      </c>
      <c r="B23" s="462">
        <f t="shared" ca="1" si="2"/>
        <v>1851.5367213036316</v>
      </c>
      <c r="C23" s="462">
        <f t="shared" ca="1" si="3"/>
        <v>0</v>
      </c>
      <c r="D23" s="462">
        <f t="shared" ca="1" si="4"/>
        <v>1864.6589039589178</v>
      </c>
      <c r="E23" s="462">
        <f t="shared" si="5"/>
        <v>29.182629610579703</v>
      </c>
      <c r="F23" s="462">
        <f t="shared" ca="1" si="6"/>
        <v>496.85152641253171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4242.2297812856614</v>
      </c>
    </row>
    <row r="24" spans="1:17">
      <c r="A24" s="461" t="s">
        <v>194</v>
      </c>
      <c r="B24" s="462">
        <f t="shared" ca="1" si="2"/>
        <v>216.44055262102333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216.44055262102333</v>
      </c>
    </row>
    <row r="25" spans="1:17">
      <c r="A25" s="461" t="s">
        <v>112</v>
      </c>
      <c r="B25" s="462">
        <f t="shared" ca="1" si="2"/>
        <v>1352.18155884661</v>
      </c>
      <c r="C25" s="462">
        <f t="shared" ca="1" si="3"/>
        <v>2138.8235294117649</v>
      </c>
      <c r="D25" s="462">
        <f t="shared" si="4"/>
        <v>707.94704673755791</v>
      </c>
      <c r="E25" s="462">
        <f t="shared" si="5"/>
        <v>19.137378518862594</v>
      </c>
      <c r="F25" s="462">
        <f t="shared" si="6"/>
        <v>6163.1612988932884</v>
      </c>
      <c r="G25" s="462">
        <f t="shared" si="7"/>
        <v>0</v>
      </c>
      <c r="H25" s="462">
        <f t="shared" si="8"/>
        <v>0</v>
      </c>
      <c r="I25" s="462">
        <f t="shared" si="9"/>
        <v>0</v>
      </c>
      <c r="J25" s="462">
        <f t="shared" si="10"/>
        <v>356.17211506037444</v>
      </c>
      <c r="K25" s="462">
        <f t="shared" si="11"/>
        <v>0</v>
      </c>
      <c r="L25" s="462">
        <f t="shared" si="12"/>
        <v>0</v>
      </c>
      <c r="M25" s="462">
        <f t="shared" si="13"/>
        <v>0</v>
      </c>
      <c r="N25" s="462">
        <f t="shared" si="14"/>
        <v>0</v>
      </c>
      <c r="O25" s="462">
        <f t="shared" si="15"/>
        <v>0</v>
      </c>
      <c r="P25" s="463">
        <f t="shared" si="16"/>
        <v>0</v>
      </c>
      <c r="Q25" s="461">
        <f t="shared" ca="1" si="17"/>
        <v>10737.422927468459</v>
      </c>
    </row>
    <row r="26" spans="1:17">
      <c r="A26" s="461" t="s">
        <v>657</v>
      </c>
      <c r="B26" s="462">
        <f t="shared" ca="1" si="2"/>
        <v>814.50810717580623</v>
      </c>
      <c r="C26" s="462">
        <f t="shared" ca="1" si="3"/>
        <v>0</v>
      </c>
      <c r="D26" s="462">
        <f t="shared" si="4"/>
        <v>1055.0083090471915</v>
      </c>
      <c r="E26" s="462">
        <f t="shared" si="5"/>
        <v>69.368352001416042</v>
      </c>
      <c r="F26" s="462">
        <f t="shared" si="6"/>
        <v>432.43352512048938</v>
      </c>
      <c r="G26" s="462">
        <f t="shared" si="7"/>
        <v>0</v>
      </c>
      <c r="H26" s="462">
        <f t="shared" si="8"/>
        <v>0</v>
      </c>
      <c r="I26" s="462">
        <f t="shared" si="9"/>
        <v>0</v>
      </c>
      <c r="J26" s="462">
        <f t="shared" si="10"/>
        <v>0.7589562278792944</v>
      </c>
      <c r="K26" s="462">
        <f t="shared" si="11"/>
        <v>0</v>
      </c>
      <c r="L26" s="462">
        <f t="shared" si="12"/>
        <v>0</v>
      </c>
      <c r="M26" s="462">
        <f t="shared" si="13"/>
        <v>0</v>
      </c>
      <c r="N26" s="462">
        <f t="shared" si="14"/>
        <v>0</v>
      </c>
      <c r="O26" s="462">
        <f t="shared" si="15"/>
        <v>0</v>
      </c>
      <c r="P26" s="463">
        <f t="shared" si="16"/>
        <v>0</v>
      </c>
      <c r="Q26" s="461">
        <f t="shared" ca="1" si="17"/>
        <v>2372.0772495727824</v>
      </c>
    </row>
    <row r="27" spans="1:17" s="467" customFormat="1">
      <c r="A27" s="465" t="s">
        <v>574</v>
      </c>
      <c r="B27" s="775">
        <f t="shared" ca="1" si="2"/>
        <v>1.3969568435225403</v>
      </c>
      <c r="C27" s="466">
        <f t="shared" ca="1" si="3"/>
        <v>0</v>
      </c>
      <c r="D27" s="466">
        <f t="shared" si="4"/>
        <v>2.345001737968984</v>
      </c>
      <c r="E27" s="466">
        <f t="shared" si="5"/>
        <v>80.428472273421121</v>
      </c>
      <c r="F27" s="466">
        <f t="shared" si="6"/>
        <v>0</v>
      </c>
      <c r="G27" s="466">
        <f t="shared" si="7"/>
        <v>24024.247028033191</v>
      </c>
      <c r="H27" s="466">
        <f t="shared" si="8"/>
        <v>4319.702122577366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28428.119581465471</v>
      </c>
    </row>
    <row r="28" spans="1:17">
      <c r="A28" s="461" t="s">
        <v>564</v>
      </c>
      <c r="B28" s="462">
        <f t="shared" ca="1" si="2"/>
        <v>0</v>
      </c>
      <c r="C28" s="462">
        <f t="shared" ca="1" si="3"/>
        <v>0</v>
      </c>
      <c r="D28" s="462">
        <f t="shared" si="4"/>
        <v>0</v>
      </c>
      <c r="E28" s="462">
        <f t="shared" si="5"/>
        <v>0</v>
      </c>
      <c r="F28" s="462">
        <f t="shared" si="6"/>
        <v>0</v>
      </c>
      <c r="G28" s="462">
        <f t="shared" si="7"/>
        <v>395.61812928698339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395.61812928698339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170.89261782200148</v>
      </c>
      <c r="C32" s="462">
        <f t="shared" ca="1" si="3"/>
        <v>0</v>
      </c>
      <c r="D32" s="462">
        <f t="shared" si="4"/>
        <v>391.60451648733471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562.49713430933616</v>
      </c>
    </row>
    <row r="33" spans="1:17" s="474" customFormat="1">
      <c r="A33" s="471" t="s">
        <v>568</v>
      </c>
      <c r="B33" s="472">
        <f ca="1">SUM(B22:B32)</f>
        <v>10142.182425958854</v>
      </c>
      <c r="C33" s="472">
        <f t="shared" ref="C33:Q33" ca="1" si="18">SUM(C22:C32)</f>
        <v>2138.8235294117649</v>
      </c>
      <c r="D33" s="472">
        <f t="shared" ca="1" si="18"/>
        <v>11915.68429732685</v>
      </c>
      <c r="E33" s="472">
        <f t="shared" si="18"/>
        <v>1617.877820547317</v>
      </c>
      <c r="F33" s="472">
        <f t="shared" ca="1" si="18"/>
        <v>18190.721131419472</v>
      </c>
      <c r="G33" s="472">
        <f t="shared" si="18"/>
        <v>24419.865157320175</v>
      </c>
      <c r="H33" s="472">
        <f t="shared" si="18"/>
        <v>4319.702122577366</v>
      </c>
      <c r="I33" s="472">
        <f t="shared" si="18"/>
        <v>0</v>
      </c>
      <c r="J33" s="472">
        <f t="shared" si="18"/>
        <v>3340.9857697670159</v>
      </c>
      <c r="K33" s="472">
        <f t="shared" si="18"/>
        <v>0</v>
      </c>
      <c r="L33" s="472">
        <f t="shared" ca="1" si="18"/>
        <v>0</v>
      </c>
      <c r="M33" s="472">
        <f t="shared" si="18"/>
        <v>0</v>
      </c>
      <c r="N33" s="472">
        <f t="shared" ca="1" si="18"/>
        <v>0</v>
      </c>
      <c r="O33" s="472">
        <f t="shared" si="18"/>
        <v>0</v>
      </c>
      <c r="P33" s="472">
        <f t="shared" si="18"/>
        <v>0</v>
      </c>
      <c r="Q33" s="472">
        <f t="shared" ca="1" si="18"/>
        <v>76085.842254328818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4679.518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83.662499999999994</v>
      </c>
      <c r="C8" s="1047">
        <f>'SEAP template'!C76</f>
        <v>6299.9999999999991</v>
      </c>
      <c r="D8" s="1047">
        <f>'SEAP template'!D76</f>
        <v>7411.7647058823522</v>
      </c>
      <c r="E8" s="1047">
        <f>'SEAP template'!E76</f>
        <v>0</v>
      </c>
      <c r="F8" s="1047">
        <f>'SEAP template'!F76</f>
        <v>0</v>
      </c>
      <c r="G8" s="1047">
        <f>'SEAP template'!G76</f>
        <v>0</v>
      </c>
      <c r="H8" s="1047">
        <f>'SEAP template'!H76</f>
        <v>0</v>
      </c>
      <c r="I8" s="1047">
        <f>'SEAP template'!I76</f>
        <v>0</v>
      </c>
      <c r="J8" s="1047">
        <f>'SEAP template'!J76</f>
        <v>98.42647058823529</v>
      </c>
      <c r="K8" s="1047">
        <f>'SEAP template'!K76</f>
        <v>0</v>
      </c>
      <c r="L8" s="1047">
        <f>'SEAP template'!L76</f>
        <v>0</v>
      </c>
      <c r="M8" s="1047">
        <f>'SEAP template'!M76</f>
        <v>0</v>
      </c>
      <c r="N8" s="1047">
        <f>'SEAP template'!N76</f>
        <v>0</v>
      </c>
      <c r="O8" s="1047">
        <f>'SEAP template'!O76</f>
        <v>0</v>
      </c>
      <c r="P8" s="1048">
        <f>'SEAP template'!Q76</f>
        <v>1497.1764705882354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4763.1805000000004</v>
      </c>
      <c r="C10" s="1051">
        <f>SUM(C4:C9)</f>
        <v>6299.9999999999991</v>
      </c>
      <c r="D10" s="1051">
        <f t="shared" ref="D10:H10" si="0">SUM(D8:D9)</f>
        <v>7411.7647058823522</v>
      </c>
      <c r="E10" s="1051">
        <f t="shared" si="0"/>
        <v>0</v>
      </c>
      <c r="F10" s="1051">
        <f t="shared" si="0"/>
        <v>0</v>
      </c>
      <c r="G10" s="1051">
        <f t="shared" si="0"/>
        <v>0</v>
      </c>
      <c r="H10" s="1051">
        <f t="shared" si="0"/>
        <v>0</v>
      </c>
      <c r="I10" s="1051">
        <f>SUM(I8:I9)</f>
        <v>0</v>
      </c>
      <c r="J10" s="1051">
        <f>SUM(J8:J9)</f>
        <v>98.42647058823529</v>
      </c>
      <c r="K10" s="1051">
        <f t="shared" ref="K10:L10" si="1">SUM(K8:K9)</f>
        <v>0</v>
      </c>
      <c r="L10" s="1051">
        <f t="shared" si="1"/>
        <v>0</v>
      </c>
      <c r="M10" s="1051">
        <f>SUM(M8:M9)</f>
        <v>0</v>
      </c>
      <c r="N10" s="1051">
        <f>SUM(N8:N9)</f>
        <v>0</v>
      </c>
      <c r="O10" s="1051">
        <f>SUM(O8:O9)</f>
        <v>0</v>
      </c>
      <c r="P10" s="1051">
        <f>SUM(P8:P9)</f>
        <v>1497.1764705882354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0.20211258906931079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119.51785714285715</v>
      </c>
      <c r="C17" s="1053">
        <f>'SEAP template'!C87</f>
        <v>9000</v>
      </c>
      <c r="D17" s="1048">
        <f>'SEAP template'!D87</f>
        <v>10588.235294117647</v>
      </c>
      <c r="E17" s="1048">
        <f>'SEAP template'!E87</f>
        <v>0</v>
      </c>
      <c r="F17" s="1048">
        <f>'SEAP template'!F87</f>
        <v>0</v>
      </c>
      <c r="G17" s="1048">
        <f>'SEAP template'!G87</f>
        <v>0</v>
      </c>
      <c r="H17" s="1048">
        <f>'SEAP template'!H87</f>
        <v>0</v>
      </c>
      <c r="I17" s="1048">
        <f>'SEAP template'!I87</f>
        <v>0</v>
      </c>
      <c r="J17" s="1048">
        <f>'SEAP template'!J87</f>
        <v>140.609243697479</v>
      </c>
      <c r="K17" s="1048">
        <f>'SEAP template'!K87</f>
        <v>0</v>
      </c>
      <c r="L17" s="1048">
        <f>'SEAP template'!L87</f>
        <v>0</v>
      </c>
      <c r="M17" s="1048">
        <f>'SEAP template'!M87</f>
        <v>0</v>
      </c>
      <c r="N17" s="1048">
        <f>'SEAP template'!N87</f>
        <v>0</v>
      </c>
      <c r="O17" s="1048">
        <f>'SEAP template'!O87</f>
        <v>0</v>
      </c>
      <c r="P17" s="1048">
        <f>'SEAP template'!Q87</f>
        <v>2138.8235294117649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119.51785714285715</v>
      </c>
      <c r="C20" s="1051">
        <f>SUM(C17:C19)</f>
        <v>9000</v>
      </c>
      <c r="D20" s="1051">
        <f t="shared" ref="D20:H20" si="2">SUM(D17:D19)</f>
        <v>10588.235294117647</v>
      </c>
      <c r="E20" s="1051">
        <f t="shared" si="2"/>
        <v>0</v>
      </c>
      <c r="F20" s="1051">
        <f t="shared" si="2"/>
        <v>0</v>
      </c>
      <c r="G20" s="1051">
        <f t="shared" si="2"/>
        <v>0</v>
      </c>
      <c r="H20" s="1051">
        <f t="shared" si="2"/>
        <v>0</v>
      </c>
      <c r="I20" s="1051">
        <f>SUM(I17:I19)</f>
        <v>0</v>
      </c>
      <c r="J20" s="1051">
        <f>SUM(J17:J19)</f>
        <v>140.609243697479</v>
      </c>
      <c r="K20" s="1051">
        <f t="shared" ref="K20:L20" si="3">SUM(K17:K19)</f>
        <v>0</v>
      </c>
      <c r="L20" s="1051">
        <f t="shared" si="3"/>
        <v>0</v>
      </c>
      <c r="M20" s="1051">
        <f>SUM(M17:M19)</f>
        <v>0</v>
      </c>
      <c r="N20" s="1051">
        <f>SUM(N17:N19)</f>
        <v>0</v>
      </c>
      <c r="O20" s="1051">
        <f>SUM(O17:O19)</f>
        <v>0</v>
      </c>
      <c r="P20" s="1051">
        <f>SUM(P17:P19)</f>
        <v>2138.8235294117649</v>
      </c>
    </row>
    <row r="22" spans="1:16">
      <c r="A22" s="475" t="s">
        <v>895</v>
      </c>
      <c r="B22" s="781" t="s">
        <v>889</v>
      </c>
      <c r="C22" s="781">
        <f ca="1">'EF ele_warmte'!B22</f>
        <v>0.23453252276232264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0.20211258906931079</v>
      </c>
      <c r="C17" s="512">
        <f ca="1">'EF ele_warmte'!B22</f>
        <v>0.23453252276232264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0.20211258906931079</v>
      </c>
      <c r="C17" s="512">
        <f ca="1">'EF ele_warmte'!B22</f>
        <v>0.23453252276232264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0.20211258906931079</v>
      </c>
      <c r="C29" s="513">
        <f ca="1">'EF ele_warmte'!B22</f>
        <v>0.23453252276232264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5826</v>
      </c>
      <c r="C9" s="338">
        <v>6028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6755</v>
      </c>
    </row>
    <row r="15" spans="1:6">
      <c r="A15" s="1295" t="s">
        <v>184</v>
      </c>
      <c r="B15" s="335">
        <v>75</v>
      </c>
    </row>
    <row r="16" spans="1:6">
      <c r="A16" s="1295" t="s">
        <v>6</v>
      </c>
      <c r="B16" s="335">
        <v>3559</v>
      </c>
    </row>
    <row r="17" spans="1:6">
      <c r="A17" s="1295" t="s">
        <v>7</v>
      </c>
      <c r="B17" s="335">
        <v>2127</v>
      </c>
    </row>
    <row r="18" spans="1:6">
      <c r="A18" s="1295" t="s">
        <v>8</v>
      </c>
      <c r="B18" s="335">
        <v>4061</v>
      </c>
    </row>
    <row r="19" spans="1:6">
      <c r="A19" s="1295" t="s">
        <v>9</v>
      </c>
      <c r="B19" s="335">
        <v>3509</v>
      </c>
    </row>
    <row r="20" spans="1:6">
      <c r="A20" s="1295" t="s">
        <v>10</v>
      </c>
      <c r="B20" s="335">
        <v>2179</v>
      </c>
    </row>
    <row r="21" spans="1:6">
      <c r="A21" s="1295" t="s">
        <v>11</v>
      </c>
      <c r="B21" s="335">
        <v>23638</v>
      </c>
    </row>
    <row r="22" spans="1:6">
      <c r="A22" s="1295" t="s">
        <v>12</v>
      </c>
      <c r="B22" s="335">
        <v>41115</v>
      </c>
    </row>
    <row r="23" spans="1:6">
      <c r="A23" s="1295" t="s">
        <v>13</v>
      </c>
      <c r="B23" s="335">
        <v>1080</v>
      </c>
    </row>
    <row r="24" spans="1:6">
      <c r="A24" s="1295" t="s">
        <v>14</v>
      </c>
      <c r="B24" s="335">
        <v>50</v>
      </c>
    </row>
    <row r="25" spans="1:6">
      <c r="A25" s="1295" t="s">
        <v>15</v>
      </c>
      <c r="B25" s="335">
        <v>5890</v>
      </c>
    </row>
    <row r="26" spans="1:6">
      <c r="A26" s="1295" t="s">
        <v>16</v>
      </c>
      <c r="B26" s="335">
        <v>121</v>
      </c>
    </row>
    <row r="27" spans="1:6">
      <c r="A27" s="1295" t="s">
        <v>17</v>
      </c>
      <c r="B27" s="335">
        <v>1156</v>
      </c>
    </row>
    <row r="28" spans="1:6" s="341" customFormat="1">
      <c r="A28" s="1296" t="s">
        <v>18</v>
      </c>
      <c r="B28" s="1296">
        <v>321214</v>
      </c>
    </row>
    <row r="29" spans="1:6">
      <c r="A29" s="1296" t="s">
        <v>909</v>
      </c>
      <c r="B29" s="1296">
        <v>182</v>
      </c>
      <c r="C29" s="341"/>
      <c r="D29" s="341"/>
      <c r="E29" s="341"/>
      <c r="F29" s="341"/>
    </row>
    <row r="30" spans="1:6">
      <c r="A30" s="1291" t="s">
        <v>910</v>
      </c>
      <c r="B30" s="1291">
        <v>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336431.03017695999</v>
      </c>
      <c r="E38" s="335">
        <v>6</v>
      </c>
      <c r="F38" s="335">
        <v>35442.390962216603</v>
      </c>
    </row>
    <row r="39" spans="1:6">
      <c r="A39" s="1295" t="s">
        <v>30</v>
      </c>
      <c r="B39" s="1295" t="s">
        <v>31</v>
      </c>
      <c r="C39" s="335">
        <v>2446</v>
      </c>
      <c r="D39" s="335">
        <v>43325725.666603804</v>
      </c>
      <c r="E39" s="335">
        <v>5461</v>
      </c>
      <c r="F39" s="335">
        <v>25247791.286440201</v>
      </c>
    </row>
    <row r="40" spans="1:6">
      <c r="A40" s="1295" t="s">
        <v>30</v>
      </c>
      <c r="B40" s="1295" t="s">
        <v>29</v>
      </c>
      <c r="C40" s="335">
        <v>0</v>
      </c>
      <c r="D40" s="335">
        <v>0</v>
      </c>
      <c r="E40" s="335">
        <v>0</v>
      </c>
      <c r="F40" s="335">
        <v>0</v>
      </c>
    </row>
    <row r="41" spans="1:6">
      <c r="A41" s="1295" t="s">
        <v>32</v>
      </c>
      <c r="B41" s="1295" t="s">
        <v>33</v>
      </c>
      <c r="C41" s="335">
        <v>42</v>
      </c>
      <c r="D41" s="335">
        <v>760891.84265253798</v>
      </c>
      <c r="E41" s="335">
        <v>102</v>
      </c>
      <c r="F41" s="335">
        <v>633134.34091509099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4283734.4342997298</v>
      </c>
      <c r="E44" s="335">
        <v>11</v>
      </c>
      <c r="F44" s="335">
        <v>2293167.2780404701</v>
      </c>
    </row>
    <row r="45" spans="1:6">
      <c r="A45" s="1295" t="s">
        <v>32</v>
      </c>
      <c r="B45" s="1295" t="s">
        <v>37</v>
      </c>
      <c r="C45" s="335">
        <v>0</v>
      </c>
      <c r="D45" s="335">
        <v>0</v>
      </c>
      <c r="E45" s="335">
        <v>3</v>
      </c>
      <c r="F45" s="335">
        <v>8135.1047852516003</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24</v>
      </c>
      <c r="D48" s="335">
        <v>608182.63604683999</v>
      </c>
      <c r="E48" s="335">
        <v>55</v>
      </c>
      <c r="F48" s="335">
        <v>817586.20195424603</v>
      </c>
    </row>
    <row r="49" spans="1:6">
      <c r="A49" s="1295" t="s">
        <v>32</v>
      </c>
      <c r="B49" s="1295" t="s">
        <v>40</v>
      </c>
      <c r="C49" s="335">
        <v>0</v>
      </c>
      <c r="D49" s="335">
        <v>0</v>
      </c>
      <c r="E49" s="335">
        <v>0</v>
      </c>
      <c r="F49" s="335">
        <v>0</v>
      </c>
    </row>
    <row r="50" spans="1:6">
      <c r="A50" s="1295" t="s">
        <v>32</v>
      </c>
      <c r="B50" s="1295" t="s">
        <v>41</v>
      </c>
      <c r="C50" s="335">
        <v>3</v>
      </c>
      <c r="D50" s="335">
        <v>137449.857649129</v>
      </c>
      <c r="E50" s="335">
        <v>8</v>
      </c>
      <c r="F50" s="335">
        <v>277949.23450761801</v>
      </c>
    </row>
    <row r="51" spans="1:6">
      <c r="A51" s="1295" t="s">
        <v>42</v>
      </c>
      <c r="B51" s="1295" t="s">
        <v>43</v>
      </c>
      <c r="C51" s="335">
        <v>10</v>
      </c>
      <c r="D51" s="335">
        <v>376092.00743085</v>
      </c>
      <c r="E51" s="335">
        <v>269</v>
      </c>
      <c r="F51" s="335">
        <v>5930446.3540915698</v>
      </c>
    </row>
    <row r="52" spans="1:6">
      <c r="A52" s="1295" t="s">
        <v>42</v>
      </c>
      <c r="B52" s="1295" t="s">
        <v>29</v>
      </c>
      <c r="C52" s="335">
        <v>9</v>
      </c>
      <c r="D52" s="335">
        <v>23465025.897431601</v>
      </c>
      <c r="E52" s="335">
        <v>26</v>
      </c>
      <c r="F52" s="335">
        <v>759792.809501076</v>
      </c>
    </row>
    <row r="53" spans="1:6">
      <c r="A53" s="1295" t="s">
        <v>44</v>
      </c>
      <c r="B53" s="1295" t="s">
        <v>45</v>
      </c>
      <c r="C53" s="335">
        <v>89</v>
      </c>
      <c r="D53" s="335">
        <v>1938636.22023433</v>
      </c>
      <c r="E53" s="335">
        <v>179</v>
      </c>
      <c r="F53" s="335">
        <v>845531.783096386</v>
      </c>
    </row>
    <row r="54" spans="1:6">
      <c r="A54" s="1295" t="s">
        <v>46</v>
      </c>
      <c r="B54" s="1295" t="s">
        <v>47</v>
      </c>
      <c r="C54" s="335">
        <v>0</v>
      </c>
      <c r="D54" s="335">
        <v>0</v>
      </c>
      <c r="E54" s="335">
        <v>4</v>
      </c>
      <c r="F54" s="335">
        <v>1070891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18</v>
      </c>
      <c r="D57" s="335">
        <v>457585.23335686198</v>
      </c>
      <c r="E57" s="335">
        <v>91</v>
      </c>
      <c r="F57" s="335">
        <v>965253.39780093904</v>
      </c>
    </row>
    <row r="58" spans="1:6">
      <c r="A58" s="1295" t="s">
        <v>49</v>
      </c>
      <c r="B58" s="1295" t="s">
        <v>51</v>
      </c>
      <c r="C58" s="335">
        <v>4</v>
      </c>
      <c r="D58" s="335">
        <v>84393.225069013206</v>
      </c>
      <c r="E58" s="335">
        <v>11</v>
      </c>
      <c r="F58" s="335">
        <v>48201.5959704368</v>
      </c>
    </row>
    <row r="59" spans="1:6">
      <c r="A59" s="1295" t="s">
        <v>49</v>
      </c>
      <c r="B59" s="1295" t="s">
        <v>52</v>
      </c>
      <c r="C59" s="335">
        <v>14</v>
      </c>
      <c r="D59" s="335">
        <v>657294.61224783701</v>
      </c>
      <c r="E59" s="335">
        <v>88</v>
      </c>
      <c r="F59" s="335">
        <v>2027952.78899195</v>
      </c>
    </row>
    <row r="60" spans="1:6">
      <c r="A60" s="1295" t="s">
        <v>49</v>
      </c>
      <c r="B60" s="1295" t="s">
        <v>53</v>
      </c>
      <c r="C60" s="335">
        <v>27</v>
      </c>
      <c r="D60" s="335">
        <v>1128664.7639391499</v>
      </c>
      <c r="E60" s="335">
        <v>52</v>
      </c>
      <c r="F60" s="335">
        <v>735482.28265106794</v>
      </c>
    </row>
    <row r="61" spans="1:6">
      <c r="A61" s="1295" t="s">
        <v>49</v>
      </c>
      <c r="B61" s="1295" t="s">
        <v>54</v>
      </c>
      <c r="C61" s="335">
        <v>48</v>
      </c>
      <c r="D61" s="335">
        <v>2210891.6217249199</v>
      </c>
      <c r="E61" s="335">
        <v>119</v>
      </c>
      <c r="F61" s="335">
        <v>1443165.1041874301</v>
      </c>
    </row>
    <row r="62" spans="1:6">
      <c r="A62" s="1295" t="s">
        <v>49</v>
      </c>
      <c r="B62" s="1295" t="s">
        <v>55</v>
      </c>
      <c r="C62" s="335">
        <v>0</v>
      </c>
      <c r="D62" s="335">
        <v>0</v>
      </c>
      <c r="E62" s="335">
        <v>0</v>
      </c>
      <c r="F62" s="335">
        <v>0</v>
      </c>
    </row>
    <row r="63" spans="1:6">
      <c r="A63" s="1295" t="s">
        <v>49</v>
      </c>
      <c r="B63" s="1295" t="s">
        <v>29</v>
      </c>
      <c r="C63" s="335">
        <v>120</v>
      </c>
      <c r="D63" s="335">
        <v>5695078.1634670403</v>
      </c>
      <c r="E63" s="335">
        <v>196</v>
      </c>
      <c r="F63" s="335">
        <v>3940862.1677575102</v>
      </c>
    </row>
    <row r="64" spans="1:6">
      <c r="A64" s="1295" t="s">
        <v>56</v>
      </c>
      <c r="B64" s="1295" t="s">
        <v>57</v>
      </c>
      <c r="C64" s="335">
        <v>0</v>
      </c>
      <c r="D64" s="335">
        <v>0</v>
      </c>
      <c r="E64" s="335">
        <v>0</v>
      </c>
      <c r="F64" s="335">
        <v>0</v>
      </c>
    </row>
    <row r="65" spans="1:6">
      <c r="A65" s="1295" t="s">
        <v>56</v>
      </c>
      <c r="B65" s="1295" t="s">
        <v>29</v>
      </c>
      <c r="C65" s="335">
        <v>4</v>
      </c>
      <c r="D65" s="335">
        <v>74875.460925457199</v>
      </c>
      <c r="E65" s="335">
        <v>3</v>
      </c>
      <c r="F65" s="335">
        <v>14033.363425294099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17</v>
      </c>
      <c r="F68" s="335">
        <v>190646.56465484001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96456786</v>
      </c>
      <c r="E73" s="335">
        <v>75429964.127390727</v>
      </c>
    </row>
    <row r="74" spans="1:6">
      <c r="A74" s="1295" t="s">
        <v>64</v>
      </c>
      <c r="B74" s="1295" t="s">
        <v>727</v>
      </c>
      <c r="C74" s="1295" t="s">
        <v>728</v>
      </c>
      <c r="D74" s="335">
        <v>8748717.7658825386</v>
      </c>
      <c r="E74" s="335">
        <v>7069012.6265974017</v>
      </c>
    </row>
    <row r="75" spans="1:6">
      <c r="A75" s="1295" t="s">
        <v>65</v>
      </c>
      <c r="B75" s="1295" t="s">
        <v>725</v>
      </c>
      <c r="C75" s="1295" t="s">
        <v>729</v>
      </c>
      <c r="D75" s="335">
        <v>30123361</v>
      </c>
      <c r="E75" s="335">
        <v>24796116.638064671</v>
      </c>
    </row>
    <row r="76" spans="1:6">
      <c r="A76" s="1295" t="s">
        <v>65</v>
      </c>
      <c r="B76" s="1295" t="s">
        <v>727</v>
      </c>
      <c r="C76" s="1295" t="s">
        <v>730</v>
      </c>
      <c r="D76" s="335">
        <v>1370831.7658825382</v>
      </c>
      <c r="E76" s="335">
        <v>1055507.4768145708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408860.46823492361</v>
      </c>
      <c r="C83" s="335">
        <v>408031.80127119657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3128.6</v>
      </c>
    </row>
    <row r="92" spans="1:6">
      <c r="A92" s="1291" t="s">
        <v>69</v>
      </c>
      <c r="B92" s="338">
        <v>1550.9179999999999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1118</v>
      </c>
    </row>
    <row r="98" spans="1:6">
      <c r="A98" s="1295" t="s">
        <v>72</v>
      </c>
      <c r="B98" s="335">
        <v>0</v>
      </c>
    </row>
    <row r="99" spans="1:6">
      <c r="A99" s="1295" t="s">
        <v>73</v>
      </c>
      <c r="B99" s="335">
        <v>182</v>
      </c>
    </row>
    <row r="100" spans="1:6">
      <c r="A100" s="1295" t="s">
        <v>74</v>
      </c>
      <c r="B100" s="335">
        <v>600</v>
      </c>
    </row>
    <row r="101" spans="1:6">
      <c r="A101" s="1295" t="s">
        <v>75</v>
      </c>
      <c r="B101" s="335">
        <v>133</v>
      </c>
    </row>
    <row r="102" spans="1:6">
      <c r="A102" s="1295" t="s">
        <v>76</v>
      </c>
      <c r="B102" s="335">
        <v>98</v>
      </c>
    </row>
    <row r="103" spans="1:6">
      <c r="A103" s="1295" t="s">
        <v>77</v>
      </c>
      <c r="B103" s="335">
        <v>340</v>
      </c>
    </row>
    <row r="104" spans="1:6">
      <c r="A104" s="1295" t="s">
        <v>78</v>
      </c>
      <c r="B104" s="335">
        <v>2839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14</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135</v>
      </c>
    </row>
    <row r="130" spans="1:6">
      <c r="A130" s="1295" t="s">
        <v>295</v>
      </c>
      <c r="B130" s="335">
        <v>2</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50180.854506201889</v>
      </c>
      <c r="C3" s="43" t="s">
        <v>170</v>
      </c>
      <c r="D3" s="43"/>
      <c r="E3" s="156"/>
      <c r="F3" s="43"/>
      <c r="G3" s="43"/>
      <c r="H3" s="43"/>
      <c r="I3" s="43"/>
      <c r="J3" s="43"/>
      <c r="K3" s="96"/>
    </row>
    <row r="4" spans="1:11">
      <c r="A4" s="366" t="s">
        <v>171</v>
      </c>
      <c r="B4" s="49">
        <f>IF(ISERROR('SEAP template'!B78+'SEAP template'!C78),0,'SEAP template'!B78+'SEAP template'!C78)</f>
        <v>11063.180499999999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1497.1764705882354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0.20211258906931079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2138.8235294117649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9119.5178571428569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0.23453252276232264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1070.8910000000001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1070.8910000000001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0.20211258906931079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216.44055262102333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25247.791286440202</v>
      </c>
      <c r="C5" s="17">
        <f>IF(ISERROR('Eigen informatie GS &amp; warmtenet'!B57),0,'Eigen informatie GS &amp; warmtenet'!B57)</f>
        <v>0</v>
      </c>
      <c r="D5" s="30">
        <f>(SUM(HH_hh_gas_kWh,HH_rest_gas_kWh)/1000)*0.902</f>
        <v>39079.804551276633</v>
      </c>
      <c r="E5" s="17">
        <f>B46*B57</f>
        <v>6254.4536922600773</v>
      </c>
      <c r="F5" s="17">
        <f>B51*B62</f>
        <v>41566.572213457526</v>
      </c>
      <c r="G5" s="18"/>
      <c r="H5" s="17"/>
      <c r="I5" s="17"/>
      <c r="J5" s="17">
        <f>B50*B61+C50*C61</f>
        <v>8429.5330465501756</v>
      </c>
      <c r="K5" s="17"/>
      <c r="L5" s="17"/>
      <c r="M5" s="17"/>
      <c r="N5" s="17">
        <f>B48*B59+C48*C59</f>
        <v>17134.706167686662</v>
      </c>
      <c r="O5" s="17">
        <f>B69*B70*B71</f>
        <v>228.2466666666667</v>
      </c>
      <c r="P5" s="17">
        <f>B77*B78*B79/1000-B77*B78*B79/1000/B80</f>
        <v>381.33333333333337</v>
      </c>
    </row>
    <row r="6" spans="1:16">
      <c r="A6" s="16" t="s">
        <v>634</v>
      </c>
      <c r="B6" s="783">
        <f>kWh_PV_kleiner_dan_10kW</f>
        <v>3128.6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28376.391286440201</v>
      </c>
      <c r="C8" s="21">
        <f>C5</f>
        <v>0</v>
      </c>
      <c r="D8" s="21">
        <f>D5</f>
        <v>39079.804551276633</v>
      </c>
      <c r="E8" s="21">
        <f>E5</f>
        <v>6254.4536922600773</v>
      </c>
      <c r="F8" s="21">
        <f>F5</f>
        <v>41566.572213457526</v>
      </c>
      <c r="G8" s="21"/>
      <c r="H8" s="21"/>
      <c r="I8" s="21"/>
      <c r="J8" s="21">
        <f>J5</f>
        <v>8429.5330465501756</v>
      </c>
      <c r="K8" s="21"/>
      <c r="L8" s="21">
        <f>L5</f>
        <v>0</v>
      </c>
      <c r="M8" s="21">
        <f>M5</f>
        <v>0</v>
      </c>
      <c r="N8" s="21">
        <f>N5</f>
        <v>17134.706167686662</v>
      </c>
      <c r="O8" s="21">
        <f>O5</f>
        <v>228.2466666666667</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0.20211258906931079</v>
      </c>
      <c r="C10" s="25">
        <f ca="1">'EF ele_warmte'!B22</f>
        <v>0.23453252276232264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5735.2259113462596</v>
      </c>
      <c r="C12" s="23">
        <f ca="1">C10*C8</f>
        <v>0</v>
      </c>
      <c r="D12" s="23">
        <f>D8*D10</f>
        <v>7894.1205193578808</v>
      </c>
      <c r="E12" s="23">
        <f>E10*E8</f>
        <v>1419.7609881430376</v>
      </c>
      <c r="F12" s="23">
        <f>F10*F8</f>
        <v>11098.274780993161</v>
      </c>
      <c r="G12" s="23"/>
      <c r="H12" s="23"/>
      <c r="I12" s="23"/>
      <c r="J12" s="23">
        <f>J10*J8</f>
        <v>2984.054698478762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1118</v>
      </c>
      <c r="C18" s="168" t="s">
        <v>111</v>
      </c>
      <c r="D18" s="230"/>
      <c r="E18" s="15"/>
    </row>
    <row r="19" spans="1:7">
      <c r="A19" s="173" t="s">
        <v>72</v>
      </c>
      <c r="B19" s="37">
        <f>aantalw2001_ander</f>
        <v>0</v>
      </c>
      <c r="C19" s="168" t="s">
        <v>111</v>
      </c>
      <c r="D19" s="231"/>
      <c r="E19" s="15"/>
    </row>
    <row r="20" spans="1:7">
      <c r="A20" s="173" t="s">
        <v>73</v>
      </c>
      <c r="B20" s="37">
        <f>aantalw2001_propaan</f>
        <v>182</v>
      </c>
      <c r="C20" s="169">
        <f>IF(ISERROR(B20/SUM($B$20,$B$21,$B$22)*100),0,B20/SUM($B$20,$B$21,$B$22)*100)</f>
        <v>19.89071038251366</v>
      </c>
      <c r="D20" s="231"/>
      <c r="E20" s="15"/>
    </row>
    <row r="21" spans="1:7">
      <c r="A21" s="173" t="s">
        <v>74</v>
      </c>
      <c r="B21" s="37">
        <f>aantalw2001_elektriciteit</f>
        <v>600</v>
      </c>
      <c r="C21" s="169">
        <f>IF(ISERROR(B21/SUM($B$20,$B$21,$B$22)*100),0,B21/SUM($B$20,$B$21,$B$22)*100)</f>
        <v>65.573770491803273</v>
      </c>
      <c r="D21" s="231"/>
      <c r="E21" s="15"/>
    </row>
    <row r="22" spans="1:7">
      <c r="A22" s="173" t="s">
        <v>75</v>
      </c>
      <c r="B22" s="37">
        <f>aantalw2001_hout</f>
        <v>133</v>
      </c>
      <c r="C22" s="169">
        <f>IF(ISERROR(B22/SUM($B$20,$B$21,$B$22)*100),0,B22/SUM($B$20,$B$21,$B$22)*100)</f>
        <v>14.535519125683061</v>
      </c>
      <c r="D22" s="231"/>
      <c r="E22" s="15"/>
    </row>
    <row r="23" spans="1:7">
      <c r="A23" s="173" t="s">
        <v>76</v>
      </c>
      <c r="B23" s="37">
        <f>aantalw2001_niet_gespec</f>
        <v>98</v>
      </c>
      <c r="C23" s="168" t="s">
        <v>111</v>
      </c>
      <c r="D23" s="230"/>
      <c r="E23" s="15"/>
    </row>
    <row r="24" spans="1:7">
      <c r="A24" s="173" t="s">
        <v>77</v>
      </c>
      <c r="B24" s="37">
        <f>aantalw2001_steenkool</f>
        <v>340</v>
      </c>
      <c r="C24" s="168" t="s">
        <v>111</v>
      </c>
      <c r="D24" s="231"/>
      <c r="E24" s="15"/>
    </row>
    <row r="25" spans="1:7">
      <c r="A25" s="173" t="s">
        <v>78</v>
      </c>
      <c r="B25" s="37">
        <f>aantalw2001_stookolie</f>
        <v>2839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5826</v>
      </c>
      <c r="C28" s="36"/>
      <c r="D28" s="230"/>
    </row>
    <row r="29" spans="1:7" s="15" customFormat="1">
      <c r="A29" s="232" t="s">
        <v>746</v>
      </c>
      <c r="B29" s="37">
        <f>SUM(HH_hh_gas_aantal,HH_rest_gas_aantal)</f>
        <v>2446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2446</v>
      </c>
      <c r="C32" s="169">
        <f>IF(ISERROR(B32/SUM($B$32,$B$34,$B$35,$B$36,$B$38,$B$39)*100),0,B32/SUM($B$32,$B$34,$B$35,$B$36,$B$38,$B$39)*100)</f>
        <v>42.128832242507755</v>
      </c>
      <c r="D32" s="235"/>
      <c r="G32" s="15"/>
    </row>
    <row r="33" spans="1:7">
      <c r="A33" s="173" t="s">
        <v>72</v>
      </c>
      <c r="B33" s="34" t="s">
        <v>111</v>
      </c>
      <c r="C33" s="169"/>
      <c r="D33" s="235"/>
      <c r="G33" s="15"/>
    </row>
    <row r="34" spans="1:7">
      <c r="A34" s="173" t="s">
        <v>73</v>
      </c>
      <c r="B34" s="33">
        <f>IF((($B$28-$B$32-$B$39-$B$77-$B$38)*C20/100)&lt;0,0,($B$28-$B$32-$B$39-$B$77-$B$38)*C20/100)</f>
        <v>300.15081967213115</v>
      </c>
      <c r="C34" s="169">
        <f>IF(ISERROR(B34/SUM($B$32,$B$34,$B$35,$B$36,$B$38,$B$39)*100),0,B34/SUM($B$32,$B$34,$B$35,$B$36,$B$38,$B$39)*100)</f>
        <v>5.1696662017246151</v>
      </c>
      <c r="D34" s="235"/>
      <c r="G34" s="15"/>
    </row>
    <row r="35" spans="1:7">
      <c r="A35" s="173" t="s">
        <v>74</v>
      </c>
      <c r="B35" s="33">
        <f>IF((($B$28-$B$32-$B$39-$B$77-$B$38)*C21/100)&lt;0,0,($B$28-$B$32-$B$39-$B$77-$B$38)*C21/100)</f>
        <v>989.50819672131138</v>
      </c>
      <c r="C35" s="169">
        <f>IF(ISERROR(B35/SUM($B$32,$B$34,$B$35,$B$36,$B$38,$B$39)*100),0,B35/SUM($B$32,$B$34,$B$35,$B$36,$B$38,$B$39)*100)</f>
        <v>17.042855610081148</v>
      </c>
      <c r="D35" s="235"/>
      <c r="G35" s="15"/>
    </row>
    <row r="36" spans="1:7">
      <c r="A36" s="173" t="s">
        <v>75</v>
      </c>
      <c r="B36" s="33">
        <f>IF((($B$28-$B$32-$B$39-$B$77-$B$38)*C22/100)&lt;0,0,($B$28-$B$32-$B$39-$B$77-$B$38)*C22/100)</f>
        <v>219.34098360655739</v>
      </c>
      <c r="C36" s="169">
        <f>IF(ISERROR(B36/SUM($B$32,$B$34,$B$35,$B$36,$B$38,$B$39)*100),0,B36/SUM($B$32,$B$34,$B$35,$B$36,$B$38,$B$39)*100)</f>
        <v>3.777832993567988</v>
      </c>
      <c r="D36" s="235"/>
      <c r="G36" s="15"/>
    </row>
    <row r="37" spans="1:7">
      <c r="A37" s="173" t="s">
        <v>76</v>
      </c>
      <c r="B37" s="34" t="s">
        <v>111</v>
      </c>
      <c r="C37" s="169"/>
      <c r="D37" s="175"/>
      <c r="G37" s="15"/>
    </row>
    <row r="38" spans="1:7">
      <c r="A38" s="173" t="s">
        <v>77</v>
      </c>
      <c r="B38" s="33">
        <f>IF((B24-(B29-B18)*0.1)&lt;0,0,B24-(B29-B18)*0.1)</f>
        <v>207.2</v>
      </c>
      <c r="C38" s="169">
        <f>IF(ISERROR(B38/SUM($B$32,$B$34,$B$35,$B$36,$B$38,$B$39)*100),0,B38/SUM($B$32,$B$34,$B$35,$B$36,$B$38,$B$39)*100)</f>
        <v>3.5687220117120222</v>
      </c>
      <c r="D38" s="236"/>
      <c r="G38" s="15"/>
    </row>
    <row r="39" spans="1:7">
      <c r="A39" s="173" t="s">
        <v>78</v>
      </c>
      <c r="B39" s="33">
        <f>IF((B25-(B29-B18))&lt;0,0,B25-(B29-B18)*0.9)</f>
        <v>1643.8</v>
      </c>
      <c r="C39" s="169">
        <f>IF(ISERROR(B39/SUM($B$32,$B$34,$B$35,$B$36,$B$38,$B$39)*100),0,B39/SUM($B$32,$B$34,$B$35,$B$36,$B$38,$B$39)*100)</f>
        <v>28.312090940406478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2446</v>
      </c>
      <c r="C44" s="34" t="s">
        <v>111</v>
      </c>
      <c r="D44" s="176"/>
    </row>
    <row r="45" spans="1:7">
      <c r="A45" s="173" t="s">
        <v>72</v>
      </c>
      <c r="B45" s="33" t="str">
        <f t="shared" si="0"/>
        <v>-</v>
      </c>
      <c r="C45" s="34" t="s">
        <v>111</v>
      </c>
      <c r="D45" s="176"/>
    </row>
    <row r="46" spans="1:7">
      <c r="A46" s="173" t="s">
        <v>73</v>
      </c>
      <c r="B46" s="33">
        <f t="shared" si="0"/>
        <v>300.15081967213115</v>
      </c>
      <c r="C46" s="34" t="s">
        <v>111</v>
      </c>
      <c r="D46" s="176"/>
    </row>
    <row r="47" spans="1:7">
      <c r="A47" s="173" t="s">
        <v>74</v>
      </c>
      <c r="B47" s="33">
        <f t="shared" si="0"/>
        <v>989.50819672131138</v>
      </c>
      <c r="C47" s="34" t="s">
        <v>111</v>
      </c>
      <c r="D47" s="176"/>
    </row>
    <row r="48" spans="1:7">
      <c r="A48" s="173" t="s">
        <v>75</v>
      </c>
      <c r="B48" s="33">
        <f t="shared" si="0"/>
        <v>219.34098360655739</v>
      </c>
      <c r="C48" s="33">
        <f>B48*10</f>
        <v>2193.4098360655739</v>
      </c>
      <c r="D48" s="236"/>
    </row>
    <row r="49" spans="1:6">
      <c r="A49" s="173" t="s">
        <v>76</v>
      </c>
      <c r="B49" s="33" t="str">
        <f t="shared" si="0"/>
        <v>-</v>
      </c>
      <c r="C49" s="34" t="s">
        <v>111</v>
      </c>
      <c r="D49" s="236"/>
    </row>
    <row r="50" spans="1:6">
      <c r="A50" s="173" t="s">
        <v>77</v>
      </c>
      <c r="B50" s="33">
        <f t="shared" si="0"/>
        <v>207.2</v>
      </c>
      <c r="C50" s="33">
        <f>B50*2</f>
        <v>414.4</v>
      </c>
      <c r="D50" s="236"/>
    </row>
    <row r="51" spans="1:6">
      <c r="A51" s="173" t="s">
        <v>78</v>
      </c>
      <c r="B51" s="33">
        <f t="shared" si="0"/>
        <v>1643.8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9160.917337359333</v>
      </c>
      <c r="C5" s="17">
        <f>IF(ISERROR('Eigen informatie GS &amp; warmtenet'!B58),0,'Eigen informatie GS &amp; warmtenet'!B58)</f>
        <v>0</v>
      </c>
      <c r="D5" s="30">
        <f>SUM(D6:D12)</f>
        <v>9230.9846730639492</v>
      </c>
      <c r="E5" s="17">
        <f>SUM(E6:E12)</f>
        <v>128.55783969418371</v>
      </c>
      <c r="F5" s="17">
        <f>SUM(F6:F12)</f>
        <v>1860.8671401218414</v>
      </c>
      <c r="G5" s="18"/>
      <c r="H5" s="17"/>
      <c r="I5" s="17"/>
      <c r="J5" s="17">
        <f>SUM(J6:J12)</f>
        <v>0</v>
      </c>
      <c r="K5" s="17"/>
      <c r="L5" s="17"/>
      <c r="M5" s="17"/>
      <c r="N5" s="17">
        <f>SUM(N6:N12)</f>
        <v>992.27726504999691</v>
      </c>
      <c r="O5" s="17">
        <f>B38*B39*B40</f>
        <v>3.1266666666666669</v>
      </c>
      <c r="P5" s="17">
        <f>B46*B47*B48/1000-B46*B47*B48/1000/B49</f>
        <v>19.066666666666666</v>
      </c>
      <c r="R5" s="32"/>
    </row>
    <row r="6" spans="1:18">
      <c r="A6" s="32" t="s">
        <v>54</v>
      </c>
      <c r="B6" s="37">
        <f>B26</f>
        <v>1443.1651041874302</v>
      </c>
      <c r="C6" s="33"/>
      <c r="D6" s="37">
        <f>IF(ISERROR(TER_kantoor_gas_kWh/1000),0,TER_kantoor_gas_kWh/1000)*0.902</f>
        <v>1994.2242427958777</v>
      </c>
      <c r="E6" s="33">
        <f>$C$26*'E Balans VL '!I12/100/3.6*1000000</f>
        <v>5.6070019656227208</v>
      </c>
      <c r="F6" s="33">
        <f>$C$26*('E Balans VL '!L12+'E Balans VL '!N12)/100/3.6*1000000</f>
        <v>219.49228059141439</v>
      </c>
      <c r="G6" s="34"/>
      <c r="H6" s="33"/>
      <c r="I6" s="33"/>
      <c r="J6" s="33">
        <f>$C$26*('E Balans VL '!D12+'E Balans VL '!E12)/100/3.6*1000000</f>
        <v>0</v>
      </c>
      <c r="K6" s="33"/>
      <c r="L6" s="33"/>
      <c r="M6" s="33"/>
      <c r="N6" s="33">
        <f>$C$26*'E Balans VL '!Y12/100/3.6*1000000</f>
        <v>0.79535685932907929</v>
      </c>
      <c r="O6" s="33"/>
      <c r="P6" s="33"/>
      <c r="R6" s="32"/>
    </row>
    <row r="7" spans="1:18">
      <c r="A7" s="32" t="s">
        <v>53</v>
      </c>
      <c r="B7" s="37">
        <f t="shared" ref="B7:B12" si="0">B27</f>
        <v>735.48228265106798</v>
      </c>
      <c r="C7" s="33"/>
      <c r="D7" s="37">
        <f>IF(ISERROR(TER_horeca_gas_kWh/1000),0,TER_horeca_gas_kWh/1000)*0.902</f>
        <v>1018.0556170731132</v>
      </c>
      <c r="E7" s="33">
        <f>$C$27*'E Balans VL '!I9/100/3.6*1000000</f>
        <v>41.429913617118004</v>
      </c>
      <c r="F7" s="33">
        <f>$C$27*('E Balans VL '!L9+'E Balans VL '!N9)/100/3.6*1000000</f>
        <v>212.06905789118349</v>
      </c>
      <c r="G7" s="34"/>
      <c r="H7" s="33"/>
      <c r="I7" s="33"/>
      <c r="J7" s="33">
        <f>$C$27*('E Balans VL '!D9+'E Balans VL '!E9)/100/3.6*1000000</f>
        <v>0</v>
      </c>
      <c r="K7" s="33"/>
      <c r="L7" s="33"/>
      <c r="M7" s="33"/>
      <c r="N7" s="33">
        <f>$C$27*'E Balans VL '!Y9/100/3.6*1000000</f>
        <v>0.20306283631442598</v>
      </c>
      <c r="O7" s="33"/>
      <c r="P7" s="33"/>
      <c r="R7" s="32"/>
    </row>
    <row r="8" spans="1:18">
      <c r="A8" s="6" t="s">
        <v>52</v>
      </c>
      <c r="B8" s="37">
        <f t="shared" si="0"/>
        <v>2027.95278899195</v>
      </c>
      <c r="C8" s="33"/>
      <c r="D8" s="37">
        <f>IF(ISERROR(TER_handel_gas_kWh/1000),0,TER_handel_gas_kWh/1000)*0.902</f>
        <v>592.87974024754897</v>
      </c>
      <c r="E8" s="33">
        <f>$C$28*'E Balans VL '!I13/100/3.6*1000000</f>
        <v>29.229679848778545</v>
      </c>
      <c r="F8" s="33">
        <f>$C$28*('E Balans VL '!L13+'E Balans VL '!N13)/100/3.6*1000000</f>
        <v>352.30262728147733</v>
      </c>
      <c r="G8" s="34"/>
      <c r="H8" s="33"/>
      <c r="I8" s="33"/>
      <c r="J8" s="33">
        <f>$C$28*('E Balans VL '!D13+'E Balans VL '!E13)/100/3.6*1000000</f>
        <v>0</v>
      </c>
      <c r="K8" s="33"/>
      <c r="L8" s="33"/>
      <c r="M8" s="33"/>
      <c r="N8" s="33">
        <f>$C$28*'E Balans VL '!Y13/100/3.6*1000000</f>
        <v>6.0759723121749687</v>
      </c>
      <c r="O8" s="33"/>
      <c r="P8" s="33"/>
      <c r="R8" s="32"/>
    </row>
    <row r="9" spans="1:18">
      <c r="A9" s="32" t="s">
        <v>51</v>
      </c>
      <c r="B9" s="37">
        <f t="shared" si="0"/>
        <v>48.201595970436799</v>
      </c>
      <c r="C9" s="33"/>
      <c r="D9" s="37">
        <f>IF(ISERROR(TER_gezond_gas_kWh/1000),0,TER_gezond_gas_kWh/1000)*0.902</f>
        <v>76.122689012249921</v>
      </c>
      <c r="E9" s="33">
        <f>$C$29*'E Balans VL '!I10/100/3.6*1000000</f>
        <v>5.1491797891296653E-2</v>
      </c>
      <c r="F9" s="33">
        <f>$C$29*('E Balans VL '!L10+'E Balans VL '!N10)/100/3.6*1000000</f>
        <v>7.8631452042505625</v>
      </c>
      <c r="G9" s="34"/>
      <c r="H9" s="33"/>
      <c r="I9" s="33"/>
      <c r="J9" s="33">
        <f>$C$29*('E Balans VL '!D10+'E Balans VL '!E10)/100/3.6*1000000</f>
        <v>0</v>
      </c>
      <c r="K9" s="33"/>
      <c r="L9" s="33"/>
      <c r="M9" s="33"/>
      <c r="N9" s="33">
        <f>$C$29*'E Balans VL '!Y10/100/3.6*1000000</f>
        <v>0.49620792723368501</v>
      </c>
      <c r="O9" s="33"/>
      <c r="P9" s="33"/>
      <c r="R9" s="32"/>
    </row>
    <row r="10" spans="1:18">
      <c r="A10" s="32" t="s">
        <v>50</v>
      </c>
      <c r="B10" s="37">
        <f t="shared" si="0"/>
        <v>965.25339780093907</v>
      </c>
      <c r="C10" s="33"/>
      <c r="D10" s="37">
        <f>IF(ISERROR(TER_ander_gas_kWh/1000),0,TER_ander_gas_kWh/1000)*0.902</f>
        <v>412.74188048788949</v>
      </c>
      <c r="E10" s="33">
        <f>$C$30*'E Balans VL '!I14/100/3.6*1000000</f>
        <v>4.4390535505452897</v>
      </c>
      <c r="F10" s="33">
        <f>$C$30*('E Balans VL '!L14+'E Balans VL '!N14)/100/3.6*1000000</f>
        <v>289.31689014961722</v>
      </c>
      <c r="G10" s="34"/>
      <c r="H10" s="33"/>
      <c r="I10" s="33"/>
      <c r="J10" s="33">
        <f>$C$30*('E Balans VL '!D14+'E Balans VL '!E14)/100/3.6*1000000</f>
        <v>0</v>
      </c>
      <c r="K10" s="33"/>
      <c r="L10" s="33"/>
      <c r="M10" s="33"/>
      <c r="N10" s="33">
        <f>$C$30*'E Balans VL '!Y14/100/3.6*1000000</f>
        <v>671.88008198821888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3940.8621677575102</v>
      </c>
      <c r="C12" s="33"/>
      <c r="D12" s="37">
        <f>IF(ISERROR(TER_rest_gas_kWh/1000),0,TER_rest_gas_kWh/1000)*0.902</f>
        <v>5136.9605034472706</v>
      </c>
      <c r="E12" s="33">
        <f>$C$32*'E Balans VL '!I8/100/3.6*1000000</f>
        <v>47.80069891422783</v>
      </c>
      <c r="F12" s="33">
        <f>$C$32*('E Balans VL '!L8+'E Balans VL '!N8)/100/3.6*1000000</f>
        <v>779.8231390038984</v>
      </c>
      <c r="G12" s="34"/>
      <c r="H12" s="33"/>
      <c r="I12" s="33"/>
      <c r="J12" s="33">
        <f>$C$32*('E Balans VL '!D8+'E Balans VL '!E8)/100/3.6*1000000</f>
        <v>0</v>
      </c>
      <c r="K12" s="33"/>
      <c r="L12" s="33"/>
      <c r="M12" s="33"/>
      <c r="N12" s="33">
        <f>$C$32*'E Balans VL '!Y8/100/3.6*1000000</f>
        <v>312.82658312672578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9160.917337359333</v>
      </c>
      <c r="C16" s="21">
        <f t="shared" ca="1" si="1"/>
        <v>0</v>
      </c>
      <c r="D16" s="21">
        <f t="shared" ca="1" si="1"/>
        <v>9230.9846730639492</v>
      </c>
      <c r="E16" s="21">
        <f t="shared" si="1"/>
        <v>128.55783969418371</v>
      </c>
      <c r="F16" s="21">
        <f t="shared" ca="1" si="1"/>
        <v>1860.8671401218414</v>
      </c>
      <c r="G16" s="21">
        <f t="shared" si="1"/>
        <v>0</v>
      </c>
      <c r="H16" s="21">
        <f t="shared" si="1"/>
        <v>0</v>
      </c>
      <c r="I16" s="21">
        <f t="shared" si="1"/>
        <v>0</v>
      </c>
      <c r="J16" s="21">
        <f t="shared" si="1"/>
        <v>0</v>
      </c>
      <c r="K16" s="21">
        <f t="shared" si="1"/>
        <v>0</v>
      </c>
      <c r="L16" s="21">
        <f t="shared" ca="1" si="1"/>
        <v>0</v>
      </c>
      <c r="M16" s="21">
        <f t="shared" si="1"/>
        <v>0</v>
      </c>
      <c r="N16" s="21">
        <f t="shared" ca="1" si="1"/>
        <v>992.27726504999691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0.20211258906931079</v>
      </c>
      <c r="C18" s="25">
        <f ca="1">'EF ele_warmte'!B22</f>
        <v>0.23453252276232264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1851.5367213036316</v>
      </c>
      <c r="C20" s="23">
        <f t="shared" ref="C20:P20" ca="1" si="2">C16*C18</f>
        <v>0</v>
      </c>
      <c r="D20" s="23">
        <f t="shared" ca="1" si="2"/>
        <v>1864.6589039589178</v>
      </c>
      <c r="E20" s="23">
        <f t="shared" si="2"/>
        <v>29.182629610579703</v>
      </c>
      <c r="F20" s="23">
        <f t="shared" ca="1" si="2"/>
        <v>496.85152641253171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1443.1651041874302</v>
      </c>
      <c r="C26" s="39">
        <f>IF(ISERROR(B26*3.6/1000000/'E Balans VL '!Z12*100),0,B26*3.6/1000000/'E Balans VL '!Z12*100)</f>
        <v>3.0653541664004264E-2</v>
      </c>
      <c r="D26" s="239" t="s">
        <v>692</v>
      </c>
      <c r="F26" s="6"/>
    </row>
    <row r="27" spans="1:18">
      <c r="A27" s="233" t="s">
        <v>53</v>
      </c>
      <c r="B27" s="33">
        <f>IF(ISERROR(TER_horeca_ele_kWh/1000),0,TER_horeca_ele_kWh/1000)</f>
        <v>735.48228265106798</v>
      </c>
      <c r="C27" s="39">
        <f>IF(ISERROR(B27*3.6/1000000/'E Balans VL '!Z9*100),0,B27*3.6/1000000/'E Balans VL '!Z9*100)</f>
        <v>5.7188226620807046E-2</v>
      </c>
      <c r="D27" s="239" t="s">
        <v>692</v>
      </c>
      <c r="F27" s="6"/>
    </row>
    <row r="28" spans="1:18">
      <c r="A28" s="173" t="s">
        <v>52</v>
      </c>
      <c r="B28" s="33">
        <f>IF(ISERROR(TER_handel_ele_kWh/1000),0,TER_handel_ele_kWh/1000)</f>
        <v>2027.95278899195</v>
      </c>
      <c r="C28" s="39">
        <f>IF(ISERROR(B28*3.6/1000000/'E Balans VL '!Z13*100),0,B28*3.6/1000000/'E Balans VL '!Z13*100)</f>
        <v>5.8022115954742444E-2</v>
      </c>
      <c r="D28" s="239" t="s">
        <v>692</v>
      </c>
      <c r="F28" s="6"/>
    </row>
    <row r="29" spans="1:18">
      <c r="A29" s="233" t="s">
        <v>51</v>
      </c>
      <c r="B29" s="33">
        <f>IF(ISERROR(TER_gezond_ele_kWh/1000),0,TER_gezond_ele_kWh/1000)</f>
        <v>48.201595970436799</v>
      </c>
      <c r="C29" s="39">
        <f>IF(ISERROR(B29*3.6/1000000/'E Balans VL '!Z10*100),0,B29*3.6/1000000/'E Balans VL '!Z10*100)</f>
        <v>5.2550940315358331E-3</v>
      </c>
      <c r="D29" s="239" t="s">
        <v>692</v>
      </c>
      <c r="F29" s="6"/>
    </row>
    <row r="30" spans="1:18">
      <c r="A30" s="233" t="s">
        <v>50</v>
      </c>
      <c r="B30" s="33">
        <f>IF(ISERROR(TER_ander_ele_kWh/1000),0,TER_ander_ele_kWh/1000)</f>
        <v>965.25339780093907</v>
      </c>
      <c r="C30" s="39">
        <f>IF(ISERROR(B30*3.6/1000000/'E Balans VL '!Z14*100),0,B30*3.6/1000000/'E Balans VL '!Z14*100)</f>
        <v>7.0635054025645863E-2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3940.8621677575102</v>
      </c>
      <c r="C32" s="39">
        <f>IF(ISERROR(B32*3.6/1000000/'E Balans VL '!Z8*100),0,B32*3.6/1000000/'E Balans VL '!Z8*100)</f>
        <v>3.2115635079488739E-2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4029.9721602026766</v>
      </c>
      <c r="C5" s="17">
        <f>IF(ISERROR('Eigen informatie GS &amp; warmtenet'!B59),0,'Eigen informatie GS &amp; warmtenet'!B59)</f>
        <v>0</v>
      </c>
      <c r="D5" s="30">
        <f>SUM(D6:D15)</f>
        <v>5222.81341112471</v>
      </c>
      <c r="E5" s="17">
        <f>SUM(E6:E15)</f>
        <v>305.58745375073147</v>
      </c>
      <c r="F5" s="17">
        <f>SUM(F6:F15)</f>
        <v>1619.6012176797353</v>
      </c>
      <c r="G5" s="18"/>
      <c r="H5" s="17"/>
      <c r="I5" s="17"/>
      <c r="J5" s="17">
        <f>SUM(J6:J15)</f>
        <v>2.1439441465516791</v>
      </c>
      <c r="K5" s="17"/>
      <c r="L5" s="17"/>
      <c r="M5" s="17"/>
      <c r="N5" s="17">
        <f>SUM(N6:N15)</f>
        <v>511.07754384600651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2293.1672780404701</v>
      </c>
      <c r="C8" s="33"/>
      <c r="D8" s="37">
        <f>IF( ISERROR(IND_metaal_Gas_kWH/1000),0,IND_metaal_Gas_kWH/1000)*0.902</f>
        <v>3863.9284597383562</v>
      </c>
      <c r="E8" s="33">
        <f>C30*'E Balans VL '!I18/100/3.6*1000000</f>
        <v>65.868371719329119</v>
      </c>
      <c r="F8" s="33">
        <f>C30*'E Balans VL '!L18/100/3.6*1000000+C30*'E Balans VL '!N18/100/3.6*1000000</f>
        <v>588.15330287238942</v>
      </c>
      <c r="G8" s="34"/>
      <c r="H8" s="33"/>
      <c r="I8" s="33"/>
      <c r="J8" s="40">
        <f>C30*'E Balans VL '!D18/100/3.6*1000000+C30*'E Balans VL '!E18/100/3.6*1000000</f>
        <v>0</v>
      </c>
      <c r="K8" s="33"/>
      <c r="L8" s="33"/>
      <c r="M8" s="33"/>
      <c r="N8" s="33">
        <f>C30*'E Balans VL '!Y18/100/3.6*1000000</f>
        <v>62.264172616409162</v>
      </c>
      <c r="O8" s="33"/>
      <c r="P8" s="33"/>
      <c r="R8" s="32"/>
    </row>
    <row r="9" spans="1:18">
      <c r="A9" s="6" t="s">
        <v>33</v>
      </c>
      <c r="B9" s="37">
        <f t="shared" si="0"/>
        <v>633.134340915091</v>
      </c>
      <c r="C9" s="33"/>
      <c r="D9" s="37">
        <f>IF( ISERROR(IND_andere_gas_kWh/1000),0,IND_andere_gas_kWh/1000)*0.902</f>
        <v>686.32444207258925</v>
      </c>
      <c r="E9" s="33">
        <f>C31*'E Balans VL '!I19/100/3.6*1000000</f>
        <v>171.37389918606743</v>
      </c>
      <c r="F9" s="33">
        <f>C31*'E Balans VL '!L19/100/3.6*1000000+C31*'E Balans VL '!N19/100/3.6*1000000</f>
        <v>421.73447065828441</v>
      </c>
      <c r="G9" s="34"/>
      <c r="H9" s="33"/>
      <c r="I9" s="33"/>
      <c r="J9" s="40">
        <f>C31*'E Balans VL '!D19/100/3.6*1000000+C31*'E Balans VL '!E19/100/3.6*1000000</f>
        <v>0</v>
      </c>
      <c r="K9" s="33"/>
      <c r="L9" s="33"/>
      <c r="M9" s="33"/>
      <c r="N9" s="33">
        <f>C31*'E Balans VL '!Y19/100/3.6*1000000</f>
        <v>206.70784504698128</v>
      </c>
      <c r="O9" s="33"/>
      <c r="P9" s="33"/>
      <c r="R9" s="32"/>
    </row>
    <row r="10" spans="1:18">
      <c r="A10" s="6" t="s">
        <v>41</v>
      </c>
      <c r="B10" s="37">
        <f t="shared" si="0"/>
        <v>277.94923450761803</v>
      </c>
      <c r="C10" s="33"/>
      <c r="D10" s="37">
        <f>IF( ISERROR(IND_voed_gas_kWh/1000),0,IND_voed_gas_kWh/1000)*0.902</f>
        <v>123.97977159951436</v>
      </c>
      <c r="E10" s="33">
        <f>C32*'E Balans VL '!I20/100/3.6*1000000</f>
        <v>22.670178138191112</v>
      </c>
      <c r="F10" s="33">
        <f>C32*'E Balans VL '!L20/100/3.6*1000000+C32*'E Balans VL '!N20/100/3.6*1000000</f>
        <v>414.44752641502612</v>
      </c>
      <c r="G10" s="34"/>
      <c r="H10" s="33"/>
      <c r="I10" s="33"/>
      <c r="J10" s="40">
        <f>C32*'E Balans VL '!D20/100/3.6*1000000+C32*'E Balans VL '!E20/100/3.6*1000000</f>
        <v>3.6769309874255134E-3</v>
      </c>
      <c r="K10" s="33"/>
      <c r="L10" s="33"/>
      <c r="M10" s="33"/>
      <c r="N10" s="33">
        <f>C32*'E Balans VL '!Y20/100/3.6*1000000</f>
        <v>81.651677327403362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8.1351047852516007</v>
      </c>
      <c r="C12" s="33"/>
      <c r="D12" s="37">
        <f>IF( ISERROR(IND_min_gas_kWh/1000),0,IND_min_gas_kWh/1000)*0.902</f>
        <v>0</v>
      </c>
      <c r="E12" s="33">
        <f>C34*'E Balans VL '!I22/100/3.6*1000000</f>
        <v>6.3370693713227413E-2</v>
      </c>
      <c r="F12" s="33">
        <f>C34*'E Balans VL '!L22/100/3.6*1000000+C34*'E Balans VL '!N22/100/3.6*1000000</f>
        <v>3.0680616075392493</v>
      </c>
      <c r="G12" s="34"/>
      <c r="H12" s="33"/>
      <c r="I12" s="33"/>
      <c r="J12" s="40">
        <f>C34*'E Balans VL '!D22/100/3.6*1000000+C34*'E Balans VL '!E22/100/3.6*1000000</f>
        <v>4.4742365042857432E-2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817.58620195424601</v>
      </c>
      <c r="C15" s="33"/>
      <c r="D15" s="37">
        <f>IF( ISERROR(IND_rest_gas_kWh/1000),0,IND_rest_gas_kWh/1000)*0.902</f>
        <v>548.58073771424972</v>
      </c>
      <c r="E15" s="33">
        <f>C37*'E Balans VL '!I15/100/3.6*1000000</f>
        <v>45.611634013430617</v>
      </c>
      <c r="F15" s="33">
        <f>C37*'E Balans VL '!L15/100/3.6*1000000+C37*'E Balans VL '!N15/100/3.6*1000000</f>
        <v>192.19785612649622</v>
      </c>
      <c r="G15" s="34"/>
      <c r="H15" s="33"/>
      <c r="I15" s="33"/>
      <c r="J15" s="40">
        <f>C37*'E Balans VL '!D15/100/3.6*1000000+C37*'E Balans VL '!E15/100/3.6*1000000</f>
        <v>2.0955248505213961</v>
      </c>
      <c r="K15" s="33"/>
      <c r="L15" s="33"/>
      <c r="M15" s="33"/>
      <c r="N15" s="33">
        <f>C37*'E Balans VL '!Y15/100/3.6*1000000</f>
        <v>160.45384885521273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4029.9721602026766</v>
      </c>
      <c r="C18" s="21">
        <f>C5+C16</f>
        <v>0</v>
      </c>
      <c r="D18" s="21">
        <f>MAX((D5+D16),0)</f>
        <v>5222.81341112471</v>
      </c>
      <c r="E18" s="21">
        <f>MAX((E5+E16),0)</f>
        <v>305.58745375073147</v>
      </c>
      <c r="F18" s="21">
        <f>MAX((F5+F16),0)</f>
        <v>1619.6012176797353</v>
      </c>
      <c r="G18" s="21"/>
      <c r="H18" s="21"/>
      <c r="I18" s="21"/>
      <c r="J18" s="21">
        <f>MAX((J5+J16),0)</f>
        <v>2.1439441465516791</v>
      </c>
      <c r="K18" s="21"/>
      <c r="L18" s="21">
        <f>MAX((L5+L16),0)</f>
        <v>0</v>
      </c>
      <c r="M18" s="21"/>
      <c r="N18" s="21">
        <f>MAX((N5+N16),0)</f>
        <v>511.07754384600651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0.20211258906931079</v>
      </c>
      <c r="C20" s="25">
        <f ca="1">'EF ele_warmte'!B22</f>
        <v>0.23453252276232264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814.50810717580623</v>
      </c>
      <c r="C22" s="23">
        <f ca="1">C18*C20</f>
        <v>0</v>
      </c>
      <c r="D22" s="23">
        <f>D18*D20</f>
        <v>1055.0083090471915</v>
      </c>
      <c r="E22" s="23">
        <f>E18*E20</f>
        <v>69.368352001416042</v>
      </c>
      <c r="F22" s="23">
        <f>F18*F20</f>
        <v>432.43352512048938</v>
      </c>
      <c r="G22" s="23"/>
      <c r="H22" s="23"/>
      <c r="I22" s="23"/>
      <c r="J22" s="23">
        <f>J18*J20</f>
        <v>0.7589562278792944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2293.1672780404701</v>
      </c>
      <c r="C30" s="39">
        <f>IF(ISERROR(B30*3.6/1000000/'E Balans VL '!Z18*100),0,B30*3.6/1000000/'E Balans VL '!Z18*100)</f>
        <v>0.22564180632670128</v>
      </c>
      <c r="D30" s="239" t="s">
        <v>692</v>
      </c>
    </row>
    <row r="31" spans="1:18">
      <c r="A31" s="6" t="s">
        <v>33</v>
      </c>
      <c r="B31" s="37">
        <f>IF( ISERROR(IND_ander_ele_kWh/1000),0,IND_ander_ele_kWh/1000)</f>
        <v>633.134340915091</v>
      </c>
      <c r="C31" s="39">
        <f>IF(ISERROR(B31*3.6/1000000/'E Balans VL '!Z19*100),0,B31*3.6/1000000/'E Balans VL '!Z19*100)</f>
        <v>2.7572495500563499E-2</v>
      </c>
      <c r="D31" s="239" t="s">
        <v>692</v>
      </c>
    </row>
    <row r="32" spans="1:18">
      <c r="A32" s="173" t="s">
        <v>41</v>
      </c>
      <c r="B32" s="37">
        <f>IF( ISERROR(IND_voed_ele_kWh/1000),0,IND_voed_ele_kWh/1000)</f>
        <v>277.94923450761803</v>
      </c>
      <c r="C32" s="39">
        <f>IF(ISERROR(B32*3.6/1000000/'E Balans VL '!Z20*100),0,B32*3.6/1000000/'E Balans VL '!Z20*100)</f>
        <v>5.2736858783790148E-2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8.1351047852516007</v>
      </c>
      <c r="C34" s="39">
        <f>IF(ISERROR(B34*3.6/1000000/'E Balans VL '!Z22*100),0,B34*3.6/1000000/'E Balans VL '!Z22*100)</f>
        <v>1.1438774229823759E-3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817.58620195424601</v>
      </c>
      <c r="C37" s="39">
        <f>IF(ISERROR(B37*3.6/1000000/'E Balans VL '!Z15*100),0,B37*3.6/1000000/'E Balans VL '!Z15*100)</f>
        <v>6.3005058889083398E-3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6690.239163592646</v>
      </c>
      <c r="C5" s="17">
        <f>'Eigen informatie GS &amp; warmtenet'!B60</f>
        <v>0</v>
      </c>
      <c r="D5" s="30">
        <f>IF(ISERROR(SUM(LB_lb_gas_kWh,LB_rest_gas_kWh)/1000),0,SUM(LB_lb_gas_kWh,LB_rest_gas_kWh)/1000)*0.902</f>
        <v>21504.68835018593</v>
      </c>
      <c r="E5" s="17">
        <f>B17*'E Balans VL '!I25/3.6*1000000/100</f>
        <v>84.30563224168543</v>
      </c>
      <c r="F5" s="17">
        <f>B17*('E Balans VL '!L25/3.6*1000000+'E Balans VL '!N25/3.6*1000000)/100</f>
        <v>23083.001119450517</v>
      </c>
      <c r="G5" s="18"/>
      <c r="H5" s="17"/>
      <c r="I5" s="17"/>
      <c r="J5" s="17">
        <f>('E Balans VL '!D25+'E Balans VL '!E25)/3.6*1000000*landbouw!B17/100</f>
        <v>1006.1359182496453</v>
      </c>
      <c r="K5" s="17"/>
      <c r="L5" s="17">
        <f>L6*(-1)</f>
        <v>0</v>
      </c>
      <c r="M5" s="17"/>
      <c r="N5" s="17">
        <f>N6*(-1)</f>
        <v>239.03571428571428</v>
      </c>
      <c r="O5" s="17"/>
      <c r="P5" s="17"/>
      <c r="R5" s="32"/>
    </row>
    <row r="6" spans="1:18">
      <c r="A6" s="16" t="s">
        <v>497</v>
      </c>
      <c r="B6" s="17" t="s">
        <v>211</v>
      </c>
      <c r="C6" s="17">
        <f>'lokale energieproductie'!O92+'lokale energieproductie'!O61</f>
        <v>9119.5178571428569</v>
      </c>
      <c r="D6" s="312">
        <f>('lokale energieproductie'!P61+'lokale energieproductie'!P92)*(-1)</f>
        <v>-18000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-239.03571428571428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6690.239163592646</v>
      </c>
      <c r="C8" s="21">
        <f>C5+C6</f>
        <v>9119.5178571428569</v>
      </c>
      <c r="D8" s="21">
        <f>MAX((D5+D6),0)</f>
        <v>3504.6883501859302</v>
      </c>
      <c r="E8" s="21">
        <f>MAX((E5+E6),0)</f>
        <v>84.30563224168543</v>
      </c>
      <c r="F8" s="21">
        <f>MAX((F5+F6),0)</f>
        <v>23083.001119450517</v>
      </c>
      <c r="G8" s="21"/>
      <c r="H8" s="21"/>
      <c r="I8" s="21"/>
      <c r="J8" s="21">
        <f>MAX((J5+J6),0)</f>
        <v>1006.1359182496453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0.20211258906931079</v>
      </c>
      <c r="C10" s="31">
        <f ca="1">'EF ele_warmte'!B22</f>
        <v>0.23453252276232264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1352.18155884661</v>
      </c>
      <c r="C12" s="23">
        <f ca="1">C8*C10</f>
        <v>2138.8235294117649</v>
      </c>
      <c r="D12" s="23">
        <f>D8*D10</f>
        <v>707.94704673755791</v>
      </c>
      <c r="E12" s="23">
        <f>E8*E10</f>
        <v>19.137378518862594</v>
      </c>
      <c r="F12" s="23">
        <f>F8*F10</f>
        <v>6163.1612988932884</v>
      </c>
      <c r="G12" s="23"/>
      <c r="H12" s="23"/>
      <c r="I12" s="23"/>
      <c r="J12" s="23">
        <f>J8*J10</f>
        <v>356.17211506037444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0.93307749922261829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1226.4825089768874</v>
      </c>
      <c r="C26" s="249">
        <f>B26*'GWP N2O_CH4'!B5</f>
        <v>25756.132688514634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507.16642500334137</v>
      </c>
      <c r="C27" s="249">
        <f>B27*'GWP N2O_CH4'!B5</f>
        <v>10650.494925070168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17.033705549869243</v>
      </c>
      <c r="C28" s="249">
        <f>B28*'GWP N2O_CH4'!B4</f>
        <v>5280.4487204594652</v>
      </c>
      <c r="D28" s="50"/>
    </row>
    <row r="29" spans="1:4">
      <c r="A29" s="41" t="s">
        <v>277</v>
      </c>
      <c r="B29" s="249">
        <f>B34*'ha_N2O bodem landbouw'!B4</f>
        <v>40.23699617160819</v>
      </c>
      <c r="C29" s="249">
        <f>B29*'GWP N2O_CH4'!B4</f>
        <v>12473.468813198539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1.0046775884763258E-2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2.4882391838325953E-5</v>
      </c>
      <c r="C5" s="448" t="s">
        <v>211</v>
      </c>
      <c r="D5" s="433">
        <f>SUM(D6:D11)</f>
        <v>4.1792110181625463E-5</v>
      </c>
      <c r="E5" s="433">
        <f>SUM(E6:E11)</f>
        <v>1.2755176219573392E-3</v>
      </c>
      <c r="F5" s="446" t="s">
        <v>211</v>
      </c>
      <c r="G5" s="433">
        <f>SUM(G6:G11)</f>
        <v>0.32392243183864977</v>
      </c>
      <c r="H5" s="433">
        <f>SUM(H6:H11)</f>
        <v>6.2453524663769147E-2</v>
      </c>
      <c r="I5" s="448" t="s">
        <v>211</v>
      </c>
      <c r="J5" s="448" t="s">
        <v>211</v>
      </c>
      <c r="K5" s="448" t="s">
        <v>211</v>
      </c>
      <c r="L5" s="448" t="s">
        <v>211</v>
      </c>
      <c r="M5" s="433">
        <f>SUM(M6:M11)</f>
        <v>1.7468835147584356E-2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1.8960916080446274E-5</v>
      </c>
      <c r="C6" s="887"/>
      <c r="D6" s="887">
        <f>vkm_2011_GW_PW*SUMIFS(TableVerdeelsleutelVkm[CNG],TableVerdeelsleutelVkm[Voertuigtype],"Lichte voertuigen")*SUMIFS(TableECFTransport[EnergieConsumptieFactor (PJ per km)],TableECFTransport[Index],CONCATENATE($A6,"_CNG_CNG"))</f>
        <v>2.6852365557529397E-5</v>
      </c>
      <c r="E6" s="887">
        <f>vkm_2011_GW_PW*SUMIFS(TableVerdeelsleutelVkm[LPG],TableVerdeelsleutelVkm[Voertuigtype],"Lichte voertuigen")*SUMIFS(TableECFTransport[EnergieConsumptieFactor (PJ per km)],TableECFTransport[Index],CONCATENATE($A6,"_LPG_LPG"))</f>
        <v>8.4334440184079631E-4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0.15157208150029197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4.0614958878295609E-2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8.6951557971047255E-3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8.2585694240295895E-2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2.934184101729954E-5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3.7268310153697661E-3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5.9214757578796802E-6</v>
      </c>
      <c r="C8" s="887"/>
      <c r="D8" s="436">
        <f>vkm_2011_NGW_PW*SUMIFS(TableVerdeelsleutelVkm[CNG],TableVerdeelsleutelVkm[Voertuigtype],"Lichte voertuigen")*SUMIFS(TableECFTransport[EnergieConsumptieFactor (PJ per km)],TableECFTransport[Index],CONCATENATE($A8,"_CNG_CNG"))</f>
        <v>1.4939744624096068E-5</v>
      </c>
      <c r="E8" s="436">
        <f>vkm_2011_NGW_PW*SUMIFS(TableVerdeelsleutelVkm[LPG],TableVerdeelsleutelVkm[Voertuigtype],"Lichte voertuigen")*SUMIFS(TableECFTransport[EnergieConsumptieFactor (PJ per km)],TableECFTransport[Index],CONCATENATE($A8,"_LPG_LPG"))</f>
        <v>4.3217322011654283E-4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7.3257551591998732E-2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2.1803674134161431E-2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4.3019493573024058E-3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1.6507104506063183E-2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5.5498102948079018E-6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7.4489897780746067E-4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6.9117755106460974</v>
      </c>
      <c r="C14" s="21"/>
      <c r="D14" s="21">
        <f t="shared" ref="D14:M14" si="0">((D5)*10^9/3600)+D12</f>
        <v>11.608919494895961</v>
      </c>
      <c r="E14" s="21">
        <f t="shared" si="0"/>
        <v>354.31045054370537</v>
      </c>
      <c r="F14" s="21"/>
      <c r="G14" s="21">
        <f t="shared" si="0"/>
        <v>89978.453288513818</v>
      </c>
      <c r="H14" s="21">
        <f t="shared" si="0"/>
        <v>17348.201295491432</v>
      </c>
      <c r="I14" s="21"/>
      <c r="J14" s="21"/>
      <c r="K14" s="21"/>
      <c r="L14" s="21"/>
      <c r="M14" s="21">
        <f t="shared" si="0"/>
        <v>4852.4542076623211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0.20211258906931079</v>
      </c>
      <c r="C16" s="56">
        <f ca="1">'EF ele_warmte'!B22</f>
        <v>0.23453252276232264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1.3969568435225403</v>
      </c>
      <c r="C18" s="23"/>
      <c r="D18" s="23">
        <f t="shared" ref="D18:M18" si="1">D14*D16</f>
        <v>2.345001737968984</v>
      </c>
      <c r="E18" s="23">
        <f t="shared" si="1"/>
        <v>80.428472273421121</v>
      </c>
      <c r="F18" s="23"/>
      <c r="G18" s="23">
        <f t="shared" si="1"/>
        <v>24024.247028033191</v>
      </c>
      <c r="H18" s="23">
        <f t="shared" si="1"/>
        <v>4319.702122577366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5.3341770240941579E-3</v>
      </c>
      <c r="H50" s="323">
        <f t="shared" si="2"/>
        <v>0</v>
      </c>
      <c r="I50" s="323">
        <f t="shared" si="2"/>
        <v>0</v>
      </c>
      <c r="J50" s="323">
        <f t="shared" si="2"/>
        <v>0</v>
      </c>
      <c r="K50" s="323">
        <f t="shared" si="2"/>
        <v>0</v>
      </c>
      <c r="L50" s="323">
        <f t="shared" si="2"/>
        <v>0</v>
      </c>
      <c r="M50" s="323">
        <f t="shared" si="2"/>
        <v>2.3722389921241563E-4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5.3341770240941579E-3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2.3722389921241563E-4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1481.7158400261549</v>
      </c>
      <c r="H54" s="21">
        <f t="shared" si="3"/>
        <v>0</v>
      </c>
      <c r="I54" s="21">
        <f t="shared" si="3"/>
        <v>0</v>
      </c>
      <c r="J54" s="21">
        <f t="shared" si="3"/>
        <v>0</v>
      </c>
      <c r="K54" s="21">
        <f t="shared" si="3"/>
        <v>0</v>
      </c>
      <c r="L54" s="21">
        <f t="shared" si="3"/>
        <v>0</v>
      </c>
      <c r="M54" s="21">
        <f t="shared" si="3"/>
        <v>65.895527559004336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0.20211258906931079</v>
      </c>
      <c r="C56" s="56">
        <f ca="1">'EF ele_warmte'!B22</f>
        <v>0.23453252276232264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395.61812928698339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4679.518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6383.6624999999995</v>
      </c>
      <c r="C8" s="560">
        <f>B101</f>
        <v>7411.7647058823522</v>
      </c>
      <c r="D8" s="1028"/>
      <c r="E8" s="1028">
        <f>E101</f>
        <v>0</v>
      </c>
      <c r="F8" s="1029"/>
      <c r="G8" s="561"/>
      <c r="H8" s="1028">
        <f>I101</f>
        <v>0</v>
      </c>
      <c r="I8" s="1028">
        <f>G101+F101</f>
        <v>0</v>
      </c>
      <c r="J8" s="1028">
        <f>H101+D101+C101</f>
        <v>98.42647058823529</v>
      </c>
      <c r="K8" s="1028"/>
      <c r="L8" s="1028"/>
      <c r="M8" s="1028"/>
      <c r="N8" s="562"/>
      <c r="O8" s="563">
        <f>C8*$C$12+D8*$D$12+E8*$E$12+F8*$F$12+G8*$G$12+H8*$H$12+I8*$I$12+J8*$J$12</f>
        <v>1497.1764705882354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11063.180499999999</v>
      </c>
      <c r="C10" s="573">
        <f t="shared" ref="C10:L10" si="0">SUM(C8:C9)</f>
        <v>7411.7647058823522</v>
      </c>
      <c r="D10" s="573">
        <f t="shared" si="0"/>
        <v>0</v>
      </c>
      <c r="E10" s="573">
        <f t="shared" si="0"/>
        <v>0</v>
      </c>
      <c r="F10" s="573">
        <f t="shared" si="0"/>
        <v>0</v>
      </c>
      <c r="G10" s="573">
        <f t="shared" si="0"/>
        <v>0</v>
      </c>
      <c r="H10" s="573">
        <f t="shared" si="0"/>
        <v>0</v>
      </c>
      <c r="I10" s="573">
        <f t="shared" si="0"/>
        <v>0</v>
      </c>
      <c r="J10" s="573">
        <f t="shared" si="0"/>
        <v>98.42647058823529</v>
      </c>
      <c r="K10" s="573">
        <f t="shared" si="0"/>
        <v>0</v>
      </c>
      <c r="L10" s="573">
        <f t="shared" si="0"/>
        <v>0</v>
      </c>
      <c r="M10" s="1031"/>
      <c r="N10" s="1031"/>
      <c r="O10" s="574">
        <f>SUM(O4:O9)</f>
        <v>1497.1764705882354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9119.5178571428569</v>
      </c>
      <c r="C17" s="585">
        <f>B102</f>
        <v>10588.235294117647</v>
      </c>
      <c r="D17" s="586"/>
      <c r="E17" s="586">
        <f>E102</f>
        <v>0</v>
      </c>
      <c r="F17" s="1034"/>
      <c r="G17" s="587"/>
      <c r="H17" s="585">
        <f>I102</f>
        <v>0</v>
      </c>
      <c r="I17" s="586">
        <f>G102+F102</f>
        <v>0</v>
      </c>
      <c r="J17" s="586">
        <f>H102+D102+C102</f>
        <v>140.609243697479</v>
      </c>
      <c r="K17" s="586"/>
      <c r="L17" s="586"/>
      <c r="M17" s="586"/>
      <c r="N17" s="1035"/>
      <c r="O17" s="588">
        <f>C17*$C$22+E17*$E$22+H17*$H$22+I17*$I$22+J17*$J$22+D17*$D$22+F17*$F$22+G17*$G$22+K17*$K$22+L17*$L$22</f>
        <v>2138.8235294117649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9119.5178571428569</v>
      </c>
      <c r="C20" s="572">
        <f>SUM(C17:C19)</f>
        <v>10588.235294117647</v>
      </c>
      <c r="D20" s="572">
        <f t="shared" ref="D20:L20" si="1">SUM(D17:D19)</f>
        <v>0</v>
      </c>
      <c r="E20" s="572">
        <f t="shared" si="1"/>
        <v>0</v>
      </c>
      <c r="F20" s="572">
        <f t="shared" si="1"/>
        <v>0</v>
      </c>
      <c r="G20" s="572">
        <f t="shared" si="1"/>
        <v>0</v>
      </c>
      <c r="H20" s="572">
        <f t="shared" si="1"/>
        <v>0</v>
      </c>
      <c r="I20" s="572">
        <f t="shared" si="1"/>
        <v>0</v>
      </c>
      <c r="J20" s="572">
        <f t="shared" si="1"/>
        <v>140.609243697479</v>
      </c>
      <c r="K20" s="572">
        <f t="shared" si="1"/>
        <v>0</v>
      </c>
      <c r="L20" s="572">
        <f t="shared" si="1"/>
        <v>0</v>
      </c>
      <c r="M20" s="572"/>
      <c r="N20" s="572"/>
      <c r="O20" s="592">
        <f>SUM(O17:O19)</f>
        <v>2138.8235294117649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43002</v>
      </c>
      <c r="C28" s="791">
        <v>9960</v>
      </c>
      <c r="D28" s="644" t="s">
        <v>913</v>
      </c>
      <c r="E28" s="643" t="s">
        <v>914</v>
      </c>
      <c r="F28" s="643" t="s">
        <v>915</v>
      </c>
      <c r="G28" s="643" t="s">
        <v>916</v>
      </c>
      <c r="H28" s="643" t="s">
        <v>917</v>
      </c>
      <c r="I28" s="643" t="s">
        <v>914</v>
      </c>
      <c r="J28" s="790">
        <v>39604</v>
      </c>
      <c r="K28" s="790">
        <v>39632</v>
      </c>
      <c r="L28" s="643" t="s">
        <v>918</v>
      </c>
      <c r="M28" s="643">
        <v>1400</v>
      </c>
      <c r="N28" s="643">
        <v>6300</v>
      </c>
      <c r="O28" s="643">
        <v>9000</v>
      </c>
      <c r="P28" s="643">
        <v>18000</v>
      </c>
      <c r="Q28" s="643">
        <v>0</v>
      </c>
      <c r="R28" s="643">
        <v>0</v>
      </c>
      <c r="S28" s="643">
        <v>0</v>
      </c>
      <c r="T28" s="643">
        <v>0</v>
      </c>
      <c r="U28" s="643">
        <v>0</v>
      </c>
      <c r="V28" s="643">
        <v>0</v>
      </c>
      <c r="W28" s="643">
        <v>0</v>
      </c>
      <c r="X28" s="643">
        <v>10</v>
      </c>
      <c r="Y28" s="643" t="s">
        <v>112</v>
      </c>
      <c r="Z28" s="645" t="s">
        <v>112</v>
      </c>
    </row>
    <row r="29" spans="1:26" s="597" customFormat="1" ht="25.5">
      <c r="A29" s="596"/>
      <c r="B29" s="791">
        <v>43002</v>
      </c>
      <c r="C29" s="791">
        <v>9961</v>
      </c>
      <c r="D29" s="644" t="s">
        <v>919</v>
      </c>
      <c r="E29" s="643" t="s">
        <v>920</v>
      </c>
      <c r="F29" s="643" t="s">
        <v>921</v>
      </c>
      <c r="G29" s="643" t="s">
        <v>916</v>
      </c>
      <c r="H29" s="643" t="s">
        <v>917</v>
      </c>
      <c r="I29" s="643" t="s">
        <v>922</v>
      </c>
      <c r="J29" s="790">
        <v>41124</v>
      </c>
      <c r="K29" s="790">
        <v>41244</v>
      </c>
      <c r="L29" s="643" t="s">
        <v>918</v>
      </c>
      <c r="M29" s="643">
        <v>9.6999999999999993</v>
      </c>
      <c r="N29" s="643">
        <v>43.649999999999991</v>
      </c>
      <c r="O29" s="643">
        <v>62.357142857142847</v>
      </c>
      <c r="P29" s="643">
        <v>0</v>
      </c>
      <c r="Q29" s="643">
        <v>124.71428571428569</v>
      </c>
      <c r="R29" s="643">
        <v>0</v>
      </c>
      <c r="S29" s="643">
        <v>0</v>
      </c>
      <c r="T29" s="643">
        <v>0</v>
      </c>
      <c r="U29" s="643">
        <v>0</v>
      </c>
      <c r="V29" s="643">
        <v>0</v>
      </c>
      <c r="W29" s="643">
        <v>0</v>
      </c>
      <c r="X29" s="643">
        <v>10</v>
      </c>
      <c r="Y29" s="643" t="s">
        <v>112</v>
      </c>
      <c r="Z29" s="645" t="s">
        <v>112</v>
      </c>
    </row>
    <row r="30" spans="1:26" s="597" customFormat="1" ht="25.5">
      <c r="A30" s="596"/>
      <c r="B30" s="791">
        <v>43002</v>
      </c>
      <c r="C30" s="791">
        <v>9968</v>
      </c>
      <c r="D30" s="644" t="s">
        <v>923</v>
      </c>
      <c r="E30" s="643" t="s">
        <v>924</v>
      </c>
      <c r="F30" s="643" t="s">
        <v>925</v>
      </c>
      <c r="G30" s="643" t="s">
        <v>916</v>
      </c>
      <c r="H30" s="643" t="s">
        <v>917</v>
      </c>
      <c r="I30" s="643" t="s">
        <v>924</v>
      </c>
      <c r="J30" s="790">
        <v>41242</v>
      </c>
      <c r="K30" s="790">
        <v>41275</v>
      </c>
      <c r="L30" s="643" t="s">
        <v>918</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1419.4</v>
      </c>
      <c r="N58" s="601">
        <f>SUM(N28:N57)</f>
        <v>6383.6624999999995</v>
      </c>
      <c r="O58" s="601">
        <f t="shared" ref="O58:W58" si="2">SUM(O28:O57)</f>
        <v>9119.5178571428569</v>
      </c>
      <c r="P58" s="601">
        <f t="shared" si="2"/>
        <v>18000</v>
      </c>
      <c r="Q58" s="601">
        <f t="shared" si="2"/>
        <v>239.03571428571428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1419.4</v>
      </c>
      <c r="N61" s="606">
        <f t="shared" si="4"/>
        <v>6383.6624999999995</v>
      </c>
      <c r="O61" s="606">
        <f t="shared" si="4"/>
        <v>9119.5178571428569</v>
      </c>
      <c r="P61" s="606">
        <f t="shared" si="4"/>
        <v>18000</v>
      </c>
      <c r="Q61" s="606">
        <f t="shared" si="4"/>
        <v>239.03571428571428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7411.7647058823522</v>
      </c>
      <c r="C101" s="635">
        <f t="shared" si="9"/>
        <v>98.42647058823529</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10588.235294117647</v>
      </c>
      <c r="C102" s="638">
        <f t="shared" si="10"/>
        <v>140.609243697479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2019-08-12T08:03:53Z</dcterms:modified>
</cp:coreProperties>
</file>