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9" i="48" l="1"/>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L10" i="14"/>
  <c r="L16" s="1"/>
  <c r="L27" s="1"/>
  <c r="K5" i="48"/>
  <c r="D30"/>
  <c r="D28"/>
  <c r="D29"/>
  <c r="D31"/>
  <c r="D24"/>
  <c r="D32"/>
  <c r="L28"/>
  <c r="L29"/>
  <c r="L32"/>
  <c r="L30"/>
  <c r="L27"/>
  <c r="L31"/>
  <c r="L24"/>
  <c r="L22"/>
  <c r="P5"/>
  <c r="P23" s="1"/>
  <c r="Q10" i="14"/>
  <c r="K32" i="48"/>
  <c r="K28"/>
  <c r="K26"/>
  <c r="K22"/>
  <c r="K25"/>
  <c r="K31"/>
  <c r="K30"/>
  <c r="K29"/>
  <c r="K24"/>
  <c r="K27"/>
  <c r="C24" i="14"/>
  <c r="C26" s="1"/>
  <c r="B7" i="48"/>
  <c r="J15" i="1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K15" i="48"/>
  <c r="K23"/>
  <c r="C22" i="14"/>
  <c r="D9" i="48"/>
  <c r="D27" s="1"/>
  <c r="E20" i="14"/>
  <c r="E22" s="1"/>
  <c r="B9" i="48"/>
  <c r="C20" i="14"/>
  <c r="O5" i="48"/>
  <c r="O23" s="1"/>
  <c r="P10" i="14"/>
  <c r="F4" i="48"/>
  <c r="F22" s="1"/>
  <c r="G11" i="14"/>
  <c r="K24"/>
  <c r="K26" s="1"/>
  <c r="J7" i="48"/>
  <c r="J25" s="1"/>
  <c r="J10" i="14"/>
  <c r="J16" s="1"/>
  <c r="J27" s="1"/>
  <c r="I5" i="48"/>
  <c r="P22"/>
  <c r="M12" i="22"/>
  <c r="N18" i="14"/>
  <c r="M13" i="48"/>
  <c r="M31" s="1"/>
  <c r="H18" i="14"/>
  <c r="G13" i="48"/>
  <c r="H13"/>
  <c r="H31" s="1"/>
  <c r="I18" i="14"/>
  <c r="O22" i="48"/>
  <c r="Q16" i="14"/>
  <c r="Q27" s="1"/>
  <c r="L46"/>
  <c r="L61" s="1"/>
  <c r="K33" i="48"/>
  <c r="L63" i="14"/>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E27"/>
  <c r="H20" i="14"/>
  <c r="H22" s="1"/>
  <c r="H27" s="1"/>
  <c r="G9" i="48"/>
  <c r="O8"/>
  <c r="P13" i="14"/>
  <c r="P16" s="1"/>
  <c r="P27" s="1"/>
  <c r="M10" i="48"/>
  <c r="M28" s="1"/>
  <c r="N19" i="14"/>
  <c r="E7" i="48"/>
  <c r="E25" s="1"/>
  <c r="F24" i="14"/>
  <c r="F26" s="1"/>
  <c r="G31" i="48"/>
  <c r="Q13"/>
  <c r="H19" i="14"/>
  <c r="R19" s="1"/>
  <c r="G10" i="48"/>
  <c r="I23"/>
  <c r="I33" s="1"/>
  <c r="I15"/>
  <c r="M14" i="22"/>
  <c r="R18" i="14"/>
  <c r="Q46"/>
  <c r="Q61" s="1"/>
  <c r="Q63" s="1"/>
  <c r="P15" i="48"/>
  <c r="P3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J16" i="15"/>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M46" s="1"/>
  <c r="H52" l="1"/>
  <c r="H61" s="1"/>
  <c r="H63" s="1"/>
  <c r="P63"/>
  <c r="M9" i="48"/>
  <c r="N20" i="14"/>
  <c r="N22" s="1"/>
  <c r="N27" s="1"/>
  <c r="N63" s="1"/>
  <c r="I20"/>
  <c r="I22" s="1"/>
  <c r="I27" s="1"/>
  <c r="H9" i="48"/>
  <c r="E20" i="15"/>
  <c r="F40" i="14" s="1"/>
  <c r="E5" i="48"/>
  <c r="E23" s="1"/>
  <c r="F10" i="14"/>
  <c r="G27" i="48"/>
  <c r="G33" s="1"/>
  <c r="G15"/>
  <c r="O26"/>
  <c r="O33" s="1"/>
  <c r="O15"/>
  <c r="E22"/>
  <c r="Q4"/>
  <c r="K10" i="14"/>
  <c r="J5" i="48"/>
  <c r="J23" s="1"/>
  <c r="G28"/>
  <c r="Q10"/>
  <c r="J22"/>
  <c r="M18" i="22"/>
  <c r="N50" i="14" s="1"/>
  <c r="N52" s="1"/>
  <c r="N61" s="1"/>
  <c r="R11"/>
  <c r="R22"/>
  <c r="R20"/>
  <c r="M61"/>
  <c r="M27"/>
  <c r="E16"/>
  <c r="E27" s="1"/>
  <c r="E63" s="1"/>
  <c r="L15" i="48"/>
  <c r="R24" i="14"/>
  <c r="R26" s="1"/>
  <c r="L33" i="48"/>
  <c r="Q7"/>
  <c r="D23"/>
  <c r="D33" s="1"/>
  <c r="D15"/>
  <c r="C16" i="14"/>
  <c r="C27" s="1"/>
  <c r="B3" i="6" s="1"/>
  <c r="B12" s="1"/>
  <c r="F23" i="48"/>
  <c r="N23"/>
  <c r="Q5"/>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M27" i="48" l="1"/>
  <c r="M33" s="1"/>
  <c r="M15"/>
  <c r="E8"/>
  <c r="F13" i="14"/>
  <c r="H27" i="48"/>
  <c r="H33" s="1"/>
  <c r="H15"/>
  <c r="Q9"/>
  <c r="J22" i="16"/>
  <c r="K43" i="14" s="1"/>
  <c r="K46" s="1"/>
  <c r="K61" s="1"/>
  <c r="K13"/>
  <c r="K16" s="1"/>
  <c r="K27" s="1"/>
  <c r="J8" i="48"/>
  <c r="J26" s="1"/>
  <c r="J33" s="1"/>
  <c r="F16" i="14"/>
  <c r="F27" s="1"/>
  <c r="R10"/>
  <c r="F46"/>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F63" i="14"/>
  <c r="J15" i="48"/>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<sst xmlns="http://schemas.openxmlformats.org/spreadsheetml/2006/main" count="2441" uniqueCount="919">
  <si>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</si>
  <si>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</si>
  <si>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</si>
  <si>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</si>
  <si>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</si>
  <si>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</si>
  <si>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</si>
  <si>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</si>
  <si>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</si>
  <si>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</si>
  <si>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</si>
  <si>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</si>
  <si>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</si>
  <si>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</si>
  <si>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</si>
  <si>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</si>
  <si>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</si>
  <si>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</si>
  <si>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</si>
  <si>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</si>
  <si>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</si>
  <si>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</si>
  <si>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</si>
  <si>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</si>
  <si>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</si>
  <si>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</si>
  <si>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</si>
  <si>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</si>
  <si>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</si>
  <si>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</si>
  <si>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</si>
  <si>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</si>
  <si>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</si>
  <si>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</si>
  <si>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</si>
  <si>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</si>
  <si>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</si>
  <si>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</si>
  <si>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</si>
  <si>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</si>
  <si>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</si>
  <si>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</si>
  <si>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</si>
  <si>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</si>
  <si>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</si>
  <si>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</si>
  <si>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</si>
  <si>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</si>
  <si>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</si>
  <si>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</si>
  <si>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</si>
  <si>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</si>
  <si>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</si>
  <si>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</si>
  <si>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</si>
  <si>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</si>
  <si>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</si>
  <si>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</si>
  <si>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</si>
  <si>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</si>
  <si>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</si>
  <si>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</si>
  <si>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</si>
  <si>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</si>
  <si>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</si>
  <si>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</si>
  <si>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</si>
  <si>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</si>
  <si>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</si>
  <si>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</si>
  <si>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</si>
  <si>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</si>
  <si>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</si>
  <si>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</si>
  <si>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</si>
  <si>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</si>
  <si>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</si>
  <si>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</si>
  <si>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</si>
  <si>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</si>
  <si>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</si>
  <si>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</si>
  <si>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</si>
  <si>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</si>
  <si>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</si>
  <si>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</si>
  <si>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</si>
  <si>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</si>
  <si>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</si>
  <si>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</si>
  <si>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</si>
  <si>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</si>
  <si>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</si>
  <si>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</si>
  <si>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</si>
  <si>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</si>
  <si>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</si>
  <si>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</si>
  <si>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</si>
  <si>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</si>
  <si>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</si>
  <si>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</si>
  <si>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</si>
  <si>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</si>
  <si>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</si>
  <si>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</si>
  <si>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</si>
  <si>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</si>
  <si>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</si>
  <si>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</si>
  <si>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</si>
  <si>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</si>
  <si>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</si>
  <si>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</si>
  <si>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</si>
  <si>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</si>
  <si>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</si>
  <si>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</si>
  <si>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</si>
  <si>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</si>
  <si>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</si>
  <si>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</si>
  <si>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</si>
  <si>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</si>
  <si>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</si>
  <si>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</si>
  <si>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</si>
  <si>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</si>
  <si>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</si>
  <si>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</si>
  <si>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</si>
  <si>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</si>
  <si>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</si>
  <si>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</si>
  <si>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</si>
  <si>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</si>
  <si>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</si>
  <si>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</si>
  <si>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</si>
  <si>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</si>
  <si>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</si>
  <si>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</si>
  <si>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</si>
  <si>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</si>
  <si>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</si>
  <si>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</si>
  <si>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</si>
  <si>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</si>
  <si>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</si>
  <si>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</si>
  <si>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</si>
  <si>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</si>
  <si>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</si>
  <si>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</si>
  <si>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</si>
  <si>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</si>
  <si>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</si>
  <si>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</si>
  <si>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</si>
  <si>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</si>
  <si>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</si>
  <si>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</si>
  <si>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</si>
  <si>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</si>
  <si>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</si>
  <si>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</si>
  <si>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</si>
  <si>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</si>
  <si>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</si>
  <si>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</si>
  <si>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</si>
  <si>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</si>
  <si>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</si>
  <si>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</si>
  <si>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</si>
  <si>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</si>
  <si>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</si>
  <si>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</si>
  <si>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</si>
  <si>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</si>
  <si>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</si>
  <si>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</si>
  <si>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</si>
  <si>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</si>
  <si>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</si>
  <si>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</si>
  <si>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</si>
  <si>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</si>
  <si>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</si>
  <si>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</si>
  <si>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</si>
  <si>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</si>
  <si>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</si>
  <si>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</si>
  <si>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</si>
  <si>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</si>
  <si>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</si>
  <si>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</si>
  <si>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</si>
  <si>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</si>
  <si>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</si>
  <si>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</si>
  <si>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</si>
  <si>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</si>
  <si>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</si>
  <si>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</si>
  <si>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</si>
  <si>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</si>
  <si>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</si>
  <si>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</si>
  <si>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</si>
  <si>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</si>
  <si>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</si>
  <si>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</si>
  <si>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</si>
  <si>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</si>
  <si>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</si>
  <si>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</si>
  <si>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</si>
  <si>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</si>
  <si>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</si>
  <si>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</si>
  <si>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</si>
  <si>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</si>
  <si>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</si>
  <si>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</si>
  <si>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</si>
  <si>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</si>
  <si>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</si>
  <si>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</si>
  <si>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</si>
  <si>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</si>
  <si>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</si>
  <si>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</si>
  <si>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</si>
  <si>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</si>
  <si>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</si>
  <si>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</si>
  <si>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</si>
  <si>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</si>
  <si>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</si>
  <si>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</si>
  <si>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</si>
  <si>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</si>
  <si>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</si>
  <si>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</si>
  <si>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</si>
  <si>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</si>
  <si>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</si>
  <si>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</si>
  <si>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</si>
  <si>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</si>
  <si>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</si>
  <si>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</si>
  <si>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</si>
  <si>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</si>
  <si>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</si>
  <si>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</si>
  <si>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</si>
  <si>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</si>
  <si>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</si>
  <si>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</si>
  <si>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</si>
  <si>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</si>
  <si>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</si>
  <si>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</si>
  <si>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</si>
  <si>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</si>
  <si>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</si>
  <si>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</si>
  <si>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</si>
  <si>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</si>
  <si>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</si>
  <si>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</si>
  <si>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</si>
  <si>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</si>
  <si>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</si>
  <si>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</si>
  <si>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</si>
  <si>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</si>
  <si>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</si>
  <si>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</si>
  <si>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</si>
  <si>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</si>
  <si>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</si>
  <si>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</si>
  <si>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</si>
  <si>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</si>
  <si>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</si>
  <si>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</si>
  <si>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</si>
  <si>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</si>
  <si>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</si>
  <si>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</si>
  <si>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</si>
  <si>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</si>
  <si>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</si>
  <si>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</si>
  <si>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</si>
  <si>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</si>
  <si>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</si>
  <si>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</si>
  <si>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</si>
  <si>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</si>
  <si>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</si>
  <si>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</si>
  <si>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</si>
  <si>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</si>
  <si>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</si>
  <si>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</si>
  <si>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</si>
  <si>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</si>
  <si>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</si>
  <si>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</si>
  <si>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</si>
  <si>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</si>
  <si>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</si>
  <si>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</si>
  <si>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</si>
  <si>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</si>
  <si>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</si>
  <si>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</si>
  <si>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</si>
  <si>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</si>
  <si>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</si>
  <si>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</si>
  <si>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</si>
  <si>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</si>
  <si>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</si>
  <si>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</si>
  <si>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</si>
  <si>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</si>
  <si>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</si>
  <si>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</si>
  <si>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</si>
  <si>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</si>
  <si>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</si>
  <si>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</si>
  <si>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</si>
  <si>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</si>
  <si>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</si>
  <si>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</si>
  <si>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</si>
  <si>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</si>
  <si>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</si>
  <si>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</si>
  <si>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</si>
  <si>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</si>
  <si>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</si>
  <si>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</si>
  <si>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</si>
  <si>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</si>
  <si>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</si>
  <si>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</si>
  <si>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</si>
  <si>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</si>
  <si>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</si>
  <si>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</si>
  <si>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</si>
  <si>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</si>
  <si>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</si>
  <si>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</si>
  <si>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</si>
  <si>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</si>
  <si>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</si>
  <si>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</si>
  <si>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</si>
  <si>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</si>
  <si>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</si>
  <si>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</si>
  <si>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</si>
  <si>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</si>
  <si>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</si>
  <si>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</si>
  <si>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</si>
  <si>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</si>
  <si>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</si>
  <si>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</si>
  <si>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</si>
  <si>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</si>
  <si>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</si>
  <si>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</si>
  <si>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</si>
  <si>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</si>
  <si>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</si>
  <si>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</si>
  <si>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</si>
  <si>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</si>
  <si>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</si>
  <si>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</si>
  <si>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</si>
  <si>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</si>
  <si>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</si>
  <si>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</si>
  <si>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</si>
  <si>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</si>
  <si>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</si>
  <si>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</si>
  <si>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</si>
  <si>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</si>
  <si>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</si>
  <si>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</si>
  <si>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</si>
  <si>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</si>
  <si>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</si>
  <si>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</si>
  <si>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</si>
  <si>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</si>
  <si>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</si>
  <si>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</si>
  <si>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</si>
  <si>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</si>
  <si>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</si>
  <si>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</si>
  <si>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</si>
  <si>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</si>
  <si>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</si>
  <si>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</si>
  <si>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</si>
  <si>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</si>
  <si>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</si>
  <si>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</si>
  <si>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</si>
  <si>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</si>
  <si>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</si>
  <si>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</si>
  <si>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</si>
  <si>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</si>
  <si>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</si>
  <si>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</si>
  <si>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</si>
  <si>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</si>
  <si>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</si>
  <si>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</si>
  <si>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</si>
  <si>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</si>
  <si>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</si>
  <si>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</si>
  <si>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</si>
  <si>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</si>
  <si>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</si>
  <si>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</si>
  <si>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</si>
  <si>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</si>
  <si>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</si>
  <si>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</si>
  <si>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</si>
  <si>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</si>
  <si>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</si>
  <si>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</si>
  <si>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</si>
  <si>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</si>
  <si>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</si>
  <si>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</si>
  <si>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</si>
  <si>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</si>
  <si>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</si>
  <si>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</si>
  <si>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</si>
  <si>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</si>
  <si>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</si>
  <si>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</si>
  <si>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</si>
  <si>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</si>
  <si>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</si>
  <si>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</si>
  <si>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</si>
  <si>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</si>
  <si>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</si>
  <si>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</si>
  <si>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</si>
  <si>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</si>
  <si>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</si>
  <si>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</si>
  <si>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</si>
  <si>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</si>
  <si>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</si>
  <si>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</si>
  <si>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</si>
  <si>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</si>
  <si>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</si>
  <si>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</si>
  <si>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</si>
  <si>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</si>
  <si>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</si>
  <si>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</si>
  <si>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</si>
  <si>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</si>
  <si>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</si>
  <si>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</si>
  <si>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</si>
  <si>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</si>
  <si>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</si>
  <si>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</si>
  <si>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</si>
  <si>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</si>
  <si>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</si>
  <si>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</si>
  <si>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</si>
  <si>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</si>
  <si>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</si>
  <si>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</si>
  <si>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</si>
  <si>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</si>
  <si>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</si>
  <si>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</si>
  <si>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</si>
  <si>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</si>
  <si>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</si>
  <si>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</si>
  <si>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</si>
  <si>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</si>
  <si>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</si>
  <si>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</si>
  <si>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</si>
  <si>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</si>
  <si>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</si>
  <si>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</si>
  <si>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</si>
  <si>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</si>
  <si>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</si>
  <si>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</si>
  <si>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</si>
  <si>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</si>
  <si>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</si>
  <si>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</si>
  <si>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</si>
  <si>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</si>
  <si>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</si>
  <si>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</si>
  <si>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</si>
  <si>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</si>
  <si>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</si>
  <si>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</si>
  <si>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</si>
  <si>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</si>
  <si>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</si>
  <si>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</si>
  <si>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</si>
  <si>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</si>
  <si>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</si>
  <si>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</si>
  <si>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</si>
  <si>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</si>
  <si>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</si>
  <si>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</si>
  <si>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</si>
  <si>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</si>
  <si>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</si>
  <si>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</si>
  <si>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</si>
  <si>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</si>
  <si>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</si>
  <si>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</si>
  <si>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</si>
  <si>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</si>
  <si>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</si>
  <si>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</si>
  <si>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</si>
  <si>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</si>
  <si>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</si>
  <si>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</si>
  <si>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</si>
  <si>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</si>
  <si>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</si>
  <si>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</si>
  <si>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</si>
  <si>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</si>
  <si>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</si>
  <si>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</si>
  <si>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</si>
  <si>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</si>
  <si>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</si>
  <si>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</si>
  <si>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</si>
  <si>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</si>
  <si>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</si>
  <si>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</si>
  <si>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</si>
  <si>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</si>
  <si>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</si>
  <si>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</si>
  <si>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</si>
  <si>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</si>
  <si>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</si>
  <si>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</si>
  <si>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</si>
  <si>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</si>
  <si>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</si>
  <si>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</si>
  <si>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</si>
  <si>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</si>
  <si>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</si>
  <si>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</si>
  <si>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</si>
  <si>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</si>
  <si>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</si>
  <si>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</si>
  <si>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</si>
  <si>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</si>
  <si>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</si>
  <si>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</si>
  <si>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</si>
  <si>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</si>
  <si>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</si>
  <si>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</si>
  <si>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</si>
  <si>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</si>
  <si>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</si>
  <si>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</si>
  <si>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</si>
  <si>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</si>
  <si>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</si>
  <si>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</si>
  <si>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</si>
  <si>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</si>
  <si>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</si>
  <si>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</si>
  <si>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</si>
  <si>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</si>
  <si>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</si>
  <si>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</si>
  <si>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</si>
  <si>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</si>
  <si>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</si>
  <si>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</si>
  <si>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</si>
  <si>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</si>
  <si>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</si>
  <si>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</si>
  <si>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</si>
  <si>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</si>
  <si>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</si>
  <si>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</si>
  <si>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</si>
  <si>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</si>
  <si>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</si>
  <si>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</si>
  <si>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</si>
  <si>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</si>
  <si>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</si>
  <si>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</si>
  <si>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</si>
  <si>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</si>
  <si>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</si>
  <si>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</si>
  <si>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</si>
  <si>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</si>
  <si>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</si>
  <si>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</si>
  <si>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</si>
  <si>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</si>
  <si>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</si>
  <si>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</si>
  <si>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</si>
  <si>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</si>
  <si>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</si>
  <si>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</si>
  <si>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</si>
  <si>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</si>
  <si>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</si>
  <si>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</si>
  <si>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</si>
  <si>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</si>
  <si>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</si>
  <si>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</si>
  <si>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</si>
  <si>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</si>
  <si>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</si>
  <si>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</si>
  <si>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</si>
  <si>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</si>
  <si>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</si>
  <si>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</si>
  <si>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</si>
  <si>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</si>
  <si>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</si>
  <si>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</si>
  <si>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</si>
  <si>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</si>
  <si>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</si>
  <si>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</si>
  <si>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</si>
  <si>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</si>
  <si>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</si>
  <si>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</si>
  <si>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</si>
  <si>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</si>
  <si>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</si>
  <si>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</si>
  <si>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</si>
  <si>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</si>
  <si>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</si>
  <si>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</si>
  <si>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</si>
  <si>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</si>
  <si>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</si>
  <si>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</si>
  <si>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</si>
  <si>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</si>
  <si>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</si>
  <si>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</si>
  <si>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</si>
  <si>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</si>
  <si>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</si>
  <si>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</si>
  <si>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</si>
  <si>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</si>
  <si>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</si>
  <si>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</si>
  <si>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</si>
  <si>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</si>
  <si>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</si>
  <si>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</si>
  <si>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</si>
  <si>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</si>
  <si>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</si>
  <si>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</si>
  <si>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</si>
  <si>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</si>
  <si>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</si>
  <si>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</si>
  <si>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</si>
  <si>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</si>
  <si>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</si>
  <si>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</si>
  <si>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</si>
  <si>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</si>
  <si>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</si>
  <si>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</si>
  <si>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</si>
  <si>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</si>
  <si>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</si>
  <si>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</si>
  <si>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</si>
  <si>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</si>
  <si>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</si>
  <si>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</si>
  <si>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</si>
  <si>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</si>
  <si>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</si>
  <si>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</si>
  <si>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</si>
  <si>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</si>
  <si>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</si>
  <si>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</si>
  <si>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</si>
  <si>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</si>
  <si>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</si>
  <si>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</si>
  <si>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</si>
  <si>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</si>
  <si>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</si>
  <si>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</si>
  <si>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</si>
  <si>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</si>
  <si>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</si>
  <si>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</si>
  <si>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</si>
  <si>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</si>
  <si>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</si>
  <si>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</si>
  <si>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</si>
  <si>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</si>
  <si>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</si>
  <si>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</si>
  <si>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</si>
  <si>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</si>
  <si>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</si>
  <si>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</si>
  <si>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</si>
  <si>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</si>
  <si>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</si>
  <si>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</si>
  <si>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</si>
  <si>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</si>
  <si>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</si>
  <si>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</si>
  <si>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</si>
  <si>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</si>
  <si>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</si>
  <si>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</si>
  <si>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</si>
  <si>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</si>
  <si>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</si>
  <si>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</si>
  <si>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</si>
  <si>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</si>
  <si>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</si>
  <si>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</si>
  <si>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</si>
  <si>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</si>
  <si>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</si>
  <si>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</si>
  <si>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</si>
  <si>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</si>
  <si>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</si>
  <si>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</si>
  <si>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</si>
  <si>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</si>
  <si>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</si>
  <si>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</si>
  <si>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</si>
  <si>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</si>
  <si>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</si>
  <si>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</si>
  <si>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</si>
  <si>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</si>
  <si>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</si>
  <si>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</si>
  <si>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</si>
  <si>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</si>
  <si>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</si>
  <si>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</si>
  <si>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</si>
  <si>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</si>
  <si>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</si>
  <si>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</si>
  <si>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</si>
  <si>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</si>
  <si>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</si>
  <si>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</si>
  <si>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</si>
  <si>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</si>
  <si>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</si>
  <si>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</si>
  <si>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</si>
  <si>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</si>
  <si>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</si>
  <si>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</si>
  <si>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</si>
  <si>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</si>
  <si>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</si>
  <si>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</si>
  <si>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</si>
  <si>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</si>
  <si>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</si>
  <si>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</si>
  <si>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</si>
  <si>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</si>
  <si>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</si>
  <si>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</si>
  <si>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</si>
  <si>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</si>
  <si>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</si>
  <si>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</si>
  <si>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</si>
  <si>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</si>
  <si>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</si>
  <si>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</si>
  <si>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</si>
  <si>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</si>
  <si>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</si>
  <si>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</si>
  <si>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</si>
  <si>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</si>
  <si>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</si>
  <si>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</si>
  <si>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</si>
  <si>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</si>
  <si>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</si>
  <si>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</si>
  <si>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</si>
  <si>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</si>
  <si>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</si>
  <si>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</si>
  <si>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</si>
  <si>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</si>
  <si>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</si>
  <si>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</si>
  <si>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</si>
  <si>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</si>
  <si>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</si>
  <si>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</si>
  <si>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</si>
  <si>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</si>
  <si>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</si>
  <si>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</si>
  <si>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</si>
  <si>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</si>
  <si>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</si>
  <si>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</si>
  <si>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</si>
  <si>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</si>
  <si>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</si>
  <si>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</si>
  <si>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</si>
  <si>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</si>
  <si>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</si>
  <si>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</si>
  <si>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</si>
  <si>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</si>
  <si>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</si>
  <si>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</si>
  <si>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</si>
  <si>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</si>
  <si>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</si>
  <si>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</si>
  <si>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</si>
  <si>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</si>
  <si>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</si>
  <si>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</si>
  <si>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</si>
  <si>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</si>
  <si>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</si>
  <si>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</si>
  <si>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41081</t>
  </si>
  <si>
    <t>ZOTTEGEM</t>
  </si>
  <si>
    <t>Cultuurgrond (ha)</t>
  </si>
  <si>
    <t>Paarden&amp;pony's 200 - 600 kg</t>
  </si>
  <si>
    <t>Paarden&amp;pony's &lt; 200 kg</t>
  </si>
  <si>
    <t>op basis van VEA (maart 2018) en Inventaris Hernieuwbare Energiebronnen (juni 2018)</t>
  </si>
  <si>
    <t>VEA (juni 2018)</t>
  </si>
  <si>
    <t>AZ Sint-Elizabeth</t>
  </si>
  <si>
    <t>Godveerdegemstraat 69, 9620 Zottegem</t>
  </si>
  <si>
    <t>WKK-0028 AZ Sint-Elizabeth</t>
  </si>
  <si>
    <t>interne verbrandingsmotor</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</si>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</sst>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238942.55672453094</c:v>
                </c:pt>
                <c:pt idx="1">
                  <c:v>86978.440558058457</c:v>
                </c:pt>
                <c:pt idx="2">
                  <c:v>1838.4649999999999</c:v>
                </c:pt>
                <c:pt idx="3">
                  <c:v>5026.905986282045</c:v>
                </c:pt>
                <c:pt idx="4">
                  <c:v>74540.538389710913</c:v>
                </c:pt>
                <c:pt idx="5">
                  <c:v>119716.53474199981</c:v>
                </c:pt>
                <c:pt idx="6">
                  <c:v>2296.4911390080288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4656"/>
        <c:axId val="182696192"/>
      </c:barChart>
      <c:catAx>
        <c:axId val="182694656"/>
        <c:scaling>
          <c:orientation val="minMax"/>
        </c:scaling>
        <c:axPos val="b"/>
        <c:numFmt formatCode="General" sourceLinked="0"/>
        <c:tickLblPos val="nextTo"/>
        <c:crossAx val="182696192"/>
        <c:crosses val="autoZero"/>
        <c:auto val="1"/>
        <c:lblAlgn val="ctr"/>
        <c:lblOffset val="100"/>
      </c:catAx>
      <c:valAx>
        <c:axId val="182696192"/>
        <c:scaling>
          <c:orientation val="minMax"/>
        </c:scaling>
        <c:axPos val="l"/>
        <c:majorGridlines/>
        <c:numFmt formatCode="#,##0" sourceLinked="1"/>
        <c:tickLblPos val="nextTo"/>
        <c:crossAx val="18269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238942.55672453094</c:v>
                </c:pt>
                <c:pt idx="1">
                  <c:v>86978.440558058457</c:v>
                </c:pt>
                <c:pt idx="2">
                  <c:v>1838.4649999999999</c:v>
                </c:pt>
                <c:pt idx="3">
                  <c:v>5026.905986282045</c:v>
                </c:pt>
                <c:pt idx="4">
                  <c:v>74540.538389710913</c:v>
                </c:pt>
                <c:pt idx="5">
                  <c:v>119716.53474199981</c:v>
                </c:pt>
                <c:pt idx="6">
                  <c:v>2296.4911390080288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50051.861888189589</c:v>
                </c:pt>
                <c:pt idx="2">
                  <c:v>18024.125312084107</c:v>
                </c:pt>
                <c:pt idx="3">
                  <c:v>385.55546356334088</c:v>
                </c:pt>
                <c:pt idx="4">
                  <c:v>1284.7936700962459</c:v>
                </c:pt>
                <c:pt idx="5">
                  <c:v>15001.838768704803</c:v>
                </c:pt>
                <c:pt idx="6">
                  <c:v>30227.131986096691</c:v>
                </c:pt>
                <c:pt idx="7">
                  <c:v>587.05534694807466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50051.861888189589</c:v>
                </c:pt>
                <c:pt idx="2">
                  <c:v>18024.125312084107</c:v>
                </c:pt>
                <c:pt idx="3">
                  <c:v>385.55546356334088</c:v>
                </c:pt>
                <c:pt idx="4">
                  <c:v>1284.7936700962459</c:v>
                </c:pt>
                <c:pt idx="5">
                  <c:v>15001.838768704803</c:v>
                </c:pt>
                <c:pt idx="6">
                  <c:v>30227.131986096691</c:v>
                </c:pt>
                <c:pt idx="7">
                  <c:v>587.05534694807466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41081</v>
      </c>
      <c r="B6" s="398"/>
      <c r="C6" s="399"/>
    </row>
    <row r="7" spans="1:7" s="396" customFormat="1" ht="15.75" customHeight="1">
      <c r="A7" s="400" t="str">
        <f>txtMunicipality</f>
        <v>ZOTTEGEM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0.20971596607133716</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0.20971596607133716</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41081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11146</v>
      </c>
      <c r="C9" s="338">
        <v>11286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3162</v>
      </c>
    </row>
    <row r="15" spans="1:6">
      <c r="A15" s="1295" t="s">
        <v>184</v>
      </c>
      <c r="B15" s="335">
        <v>23</v>
      </c>
    </row>
    <row r="16" spans="1:6">
      <c r="A16" s="1295" t="s">
        <v>6</v>
      </c>
      <c r="B16" s="335">
        <v>816</v>
      </c>
    </row>
    <row r="17" spans="1:6">
      <c r="A17" s="1295" t="s">
        <v>7</v>
      </c>
      <c r="B17" s="335">
        <v>675</v>
      </c>
    </row>
    <row r="18" spans="1:6">
      <c r="A18" s="1295" t="s">
        <v>8</v>
      </c>
      <c r="B18" s="335">
        <v>1015</v>
      </c>
    </row>
    <row r="19" spans="1:6">
      <c r="A19" s="1295" t="s">
        <v>9</v>
      </c>
      <c r="B19" s="335">
        <v>938</v>
      </c>
    </row>
    <row r="20" spans="1:6">
      <c r="A20" s="1295" t="s">
        <v>10</v>
      </c>
      <c r="B20" s="335">
        <v>874</v>
      </c>
    </row>
    <row r="21" spans="1:6">
      <c r="A21" s="1295" t="s">
        <v>11</v>
      </c>
      <c r="B21" s="335">
        <v>0</v>
      </c>
    </row>
    <row r="22" spans="1:6">
      <c r="A22" s="1295" t="s">
        <v>12</v>
      </c>
      <c r="B22" s="335">
        <v>88</v>
      </c>
    </row>
    <row r="23" spans="1:6">
      <c r="A23" s="1295" t="s">
        <v>13</v>
      </c>
      <c r="B23" s="335">
        <v>0</v>
      </c>
    </row>
    <row r="24" spans="1:6">
      <c r="A24" s="1295" t="s">
        <v>14</v>
      </c>
      <c r="B24" s="335">
        <v>0</v>
      </c>
    </row>
    <row r="25" spans="1:6">
      <c r="A25" s="1295" t="s">
        <v>15</v>
      </c>
      <c r="B25" s="335">
        <v>0</v>
      </c>
    </row>
    <row r="26" spans="1:6">
      <c r="A26" s="1295" t="s">
        <v>16</v>
      </c>
      <c r="B26" s="335">
        <v>27</v>
      </c>
    </row>
    <row r="27" spans="1:6">
      <c r="A27" s="1295" t="s">
        <v>17</v>
      </c>
      <c r="B27" s="335">
        <v>0</v>
      </c>
    </row>
    <row r="28" spans="1:6" s="341" customFormat="1">
      <c r="A28" s="1296" t="s">
        <v>18</v>
      </c>
      <c r="B28" s="1296">
        <v>0</v>
      </c>
    </row>
    <row r="29" spans="1:6">
      <c r="A29" s="1296" t="s">
        <v>909</v>
      </c>
      <c r="B29" s="1296">
        <v>234</v>
      </c>
      <c r="C29" s="341"/>
      <c r="D29" s="341"/>
      <c r="E29" s="341"/>
      <c r="F29" s="341"/>
    </row>
    <row r="30" spans="1:6">
      <c r="A30" s="1291" t="s">
        <v>910</v>
      </c>
      <c r="B30" s="1291">
        <v>28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3</v>
      </c>
      <c r="F38" s="335">
        <v>6819.1346038815</v>
      </c>
    </row>
    <row r="39" spans="1:6">
      <c r="A39" s="1295" t="s">
        <v>30</v>
      </c>
      <c r="B39" s="1295" t="s">
        <v>31</v>
      </c>
      <c r="C39" s="335">
        <v>5340</v>
      </c>
      <c r="D39" s="335">
        <v>91663815.310037002</v>
      </c>
      <c r="E39" s="335">
        <v>11168</v>
      </c>
      <c r="F39" s="335">
        <v>49134693.819428802</v>
      </c>
    </row>
    <row r="40" spans="1:6">
      <c r="A40" s="1295" t="s">
        <v>30</v>
      </c>
      <c r="B40" s="1295" t="s">
        <v>29</v>
      </c>
      <c r="C40" s="335">
        <v>0</v>
      </c>
      <c r="D40" s="335">
        <v>0</v>
      </c>
      <c r="E40" s="335">
        <v>1</v>
      </c>
      <c r="F40" s="335">
        <v>26594.933073933102</v>
      </c>
    </row>
    <row r="41" spans="1:6">
      <c r="A41" s="1295" t="s">
        <v>32</v>
      </c>
      <c r="B41" s="1295" t="s">
        <v>33</v>
      </c>
      <c r="C41" s="335">
        <v>62</v>
      </c>
      <c r="D41" s="335">
        <v>1399044.7705093001</v>
      </c>
      <c r="E41" s="335">
        <v>210</v>
      </c>
      <c r="F41" s="335">
        <v>17549580.2626682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15</v>
      </c>
      <c r="F44" s="335">
        <v>279237.39330911898</v>
      </c>
    </row>
    <row r="45" spans="1:6">
      <c r="A45" s="1295" t="s">
        <v>32</v>
      </c>
      <c r="B45" s="1295" t="s">
        <v>37</v>
      </c>
      <c r="C45" s="335">
        <v>0</v>
      </c>
      <c r="D45" s="335">
        <v>0</v>
      </c>
      <c r="E45" s="335">
        <v>15</v>
      </c>
      <c r="F45" s="335">
        <v>241930.87261827101</v>
      </c>
    </row>
    <row r="46" spans="1:6">
      <c r="A46" s="1295" t="s">
        <v>32</v>
      </c>
      <c r="B46" s="1295" t="s">
        <v>38</v>
      </c>
      <c r="C46" s="335">
        <v>0</v>
      </c>
      <c r="D46" s="335">
        <v>0</v>
      </c>
      <c r="E46" s="335">
        <v>0</v>
      </c>
      <c r="F46" s="335">
        <v>0</v>
      </c>
    </row>
    <row r="47" spans="1:6">
      <c r="A47" s="1295" t="s">
        <v>32</v>
      </c>
      <c r="B47" s="1295" t="s">
        <v>39</v>
      </c>
      <c r="C47" s="335">
        <v>3</v>
      </c>
      <c r="D47" s="335">
        <v>821362.34859278705</v>
      </c>
      <c r="E47" s="335">
        <v>0</v>
      </c>
      <c r="F47" s="335">
        <v>0</v>
      </c>
    </row>
    <row r="48" spans="1:6">
      <c r="A48" s="1295" t="s">
        <v>32</v>
      </c>
      <c r="B48" s="1295" t="s">
        <v>29</v>
      </c>
      <c r="C48" s="335">
        <v>32</v>
      </c>
      <c r="D48" s="335">
        <v>5679805.5998160299</v>
      </c>
      <c r="E48" s="335">
        <v>36</v>
      </c>
      <c r="F48" s="335">
        <v>8573642.7226098496</v>
      </c>
    </row>
    <row r="49" spans="1:6">
      <c r="A49" s="1295" t="s">
        <v>32</v>
      </c>
      <c r="B49" s="1295" t="s">
        <v>40</v>
      </c>
      <c r="C49" s="335">
        <v>0</v>
      </c>
      <c r="D49" s="335">
        <v>0</v>
      </c>
      <c r="E49" s="335">
        <v>4</v>
      </c>
      <c r="F49" s="335">
        <v>63381.1321667257</v>
      </c>
    </row>
    <row r="50" spans="1:6">
      <c r="A50" s="1295" t="s">
        <v>32</v>
      </c>
      <c r="B50" s="1295" t="s">
        <v>41</v>
      </c>
      <c r="C50" s="335">
        <v>19</v>
      </c>
      <c r="D50" s="335">
        <v>2175177.0603910801</v>
      </c>
      <c r="E50" s="335">
        <v>28</v>
      </c>
      <c r="F50" s="335">
        <v>4253479.4067982696</v>
      </c>
    </row>
    <row r="51" spans="1:6">
      <c r="A51" s="1295" t="s">
        <v>42</v>
      </c>
      <c r="B51" s="1295" t="s">
        <v>43</v>
      </c>
      <c r="C51" s="335">
        <v>8</v>
      </c>
      <c r="D51" s="335">
        <v>118931.94733193501</v>
      </c>
      <c r="E51" s="335">
        <v>88</v>
      </c>
      <c r="F51" s="335">
        <v>950401.81831068802</v>
      </c>
    </row>
    <row r="52" spans="1:6">
      <c r="A52" s="1295" t="s">
        <v>42</v>
      </c>
      <c r="B52" s="1295" t="s">
        <v>29</v>
      </c>
      <c r="C52" s="335">
        <v>3</v>
      </c>
      <c r="D52" s="335">
        <v>55000.520090726597</v>
      </c>
      <c r="E52" s="335">
        <v>8</v>
      </c>
      <c r="F52" s="335">
        <v>105259.37442738601</v>
      </c>
    </row>
    <row r="53" spans="1:6">
      <c r="A53" s="1295" t="s">
        <v>44</v>
      </c>
      <c r="B53" s="1295" t="s">
        <v>45</v>
      </c>
      <c r="C53" s="335">
        <v>141</v>
      </c>
      <c r="D53" s="335">
        <v>6056953.5155484704</v>
      </c>
      <c r="E53" s="335">
        <v>388</v>
      </c>
      <c r="F53" s="335">
        <v>1911766.00883105</v>
      </c>
    </row>
    <row r="54" spans="1:6">
      <c r="A54" s="1295" t="s">
        <v>46</v>
      </c>
      <c r="B54" s="1295" t="s">
        <v>47</v>
      </c>
      <c r="C54" s="335">
        <v>0</v>
      </c>
      <c r="D54" s="335">
        <v>0</v>
      </c>
      <c r="E54" s="335">
        <v>1</v>
      </c>
      <c r="F54" s="335">
        <v>1838465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49</v>
      </c>
      <c r="D57" s="335">
        <v>3629195.6365889101</v>
      </c>
      <c r="E57" s="335">
        <v>126</v>
      </c>
      <c r="F57" s="335">
        <v>1970527.5715966001</v>
      </c>
    </row>
    <row r="58" spans="1:6">
      <c r="A58" s="1295" t="s">
        <v>49</v>
      </c>
      <c r="B58" s="1295" t="s">
        <v>51</v>
      </c>
      <c r="C58" s="335">
        <v>19</v>
      </c>
      <c r="D58" s="335">
        <v>13541022.239558</v>
      </c>
      <c r="E58" s="335">
        <v>54</v>
      </c>
      <c r="F58" s="335">
        <v>8772060.0123122092</v>
      </c>
    </row>
    <row r="59" spans="1:6">
      <c r="A59" s="1295" t="s">
        <v>49</v>
      </c>
      <c r="B59" s="1295" t="s">
        <v>52</v>
      </c>
      <c r="C59" s="335">
        <v>141</v>
      </c>
      <c r="D59" s="335">
        <v>7407648.6153607098</v>
      </c>
      <c r="E59" s="335">
        <v>355</v>
      </c>
      <c r="F59" s="335">
        <v>13785544.4909999</v>
      </c>
    </row>
    <row r="60" spans="1:6">
      <c r="A60" s="1295" t="s">
        <v>49</v>
      </c>
      <c r="B60" s="1295" t="s">
        <v>53</v>
      </c>
      <c r="C60" s="335">
        <v>83</v>
      </c>
      <c r="D60" s="335">
        <v>3957619.3715214198</v>
      </c>
      <c r="E60" s="335">
        <v>133</v>
      </c>
      <c r="F60" s="335">
        <v>2796007.11392185</v>
      </c>
    </row>
    <row r="61" spans="1:6">
      <c r="A61" s="1295" t="s">
        <v>49</v>
      </c>
      <c r="B61" s="1295" t="s">
        <v>54</v>
      </c>
      <c r="C61" s="335">
        <v>159</v>
      </c>
      <c r="D61" s="335">
        <v>9928757.4606652409</v>
      </c>
      <c r="E61" s="335">
        <v>419</v>
      </c>
      <c r="F61" s="335">
        <v>5199250.4135482404</v>
      </c>
    </row>
    <row r="62" spans="1:6">
      <c r="A62" s="1295" t="s">
        <v>49</v>
      </c>
      <c r="B62" s="1295" t="s">
        <v>55</v>
      </c>
      <c r="C62" s="335">
        <v>13</v>
      </c>
      <c r="D62" s="335">
        <v>3797692.5938186999</v>
      </c>
      <c r="E62" s="335">
        <v>22</v>
      </c>
      <c r="F62" s="335">
        <v>857143.69233760599</v>
      </c>
    </row>
    <row r="63" spans="1:6">
      <c r="A63" s="1295" t="s">
        <v>49</v>
      </c>
      <c r="B63" s="1295" t="s">
        <v>29</v>
      </c>
      <c r="C63" s="335">
        <v>100</v>
      </c>
      <c r="D63" s="335">
        <v>5844999.8541225903</v>
      </c>
      <c r="E63" s="335">
        <v>110</v>
      </c>
      <c r="F63" s="335">
        <v>1961282.4297535301</v>
      </c>
    </row>
    <row r="64" spans="1:6">
      <c r="A64" s="1295" t="s">
        <v>56</v>
      </c>
      <c r="B64" s="1295" t="s">
        <v>57</v>
      </c>
      <c r="C64" s="335">
        <v>0</v>
      </c>
      <c r="D64" s="335">
        <v>0</v>
      </c>
      <c r="E64" s="335">
        <v>0</v>
      </c>
      <c r="F64" s="335">
        <v>0</v>
      </c>
    </row>
    <row r="65" spans="1:6">
      <c r="A65" s="1295" t="s">
        <v>56</v>
      </c>
      <c r="B65" s="1295" t="s">
        <v>29</v>
      </c>
      <c r="C65" s="335">
        <v>2</v>
      </c>
      <c r="D65" s="335">
        <v>58877.064101244403</v>
      </c>
      <c r="E65" s="335">
        <v>3</v>
      </c>
      <c r="F65" s="335">
        <v>18363.2674955906</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105207.992140306</v>
      </c>
      <c r="E68" s="335">
        <v>9</v>
      </c>
      <c r="F68" s="335">
        <v>30359.689273797001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89738676</v>
      </c>
      <c r="E73" s="335">
        <v>105097554.35719962</v>
      </c>
    </row>
    <row r="74" spans="1:6">
      <c r="A74" s="1295" t="s">
        <v>64</v>
      </c>
      <c r="B74" s="1295" t="s">
        <v>727</v>
      </c>
      <c r="C74" s="1295" t="s">
        <v>728</v>
      </c>
      <c r="D74" s="335">
        <v>8143281.2132285796</v>
      </c>
      <c r="E74" s="335">
        <v>9387239.2708573136</v>
      </c>
    </row>
    <row r="75" spans="1:6">
      <c r="A75" s="1295" t="s">
        <v>65</v>
      </c>
      <c r="B75" s="1295" t="s">
        <v>725</v>
      </c>
      <c r="C75" s="1295" t="s">
        <v>729</v>
      </c>
      <c r="D75" s="335">
        <v>42362494</v>
      </c>
      <c r="E75" s="335">
        <v>49845134.778035618</v>
      </c>
    </row>
    <row r="76" spans="1:6">
      <c r="A76" s="1295" t="s">
        <v>65</v>
      </c>
      <c r="B76" s="1295" t="s">
        <v>727</v>
      </c>
      <c r="C76" s="1295" t="s">
        <v>730</v>
      </c>
      <c r="D76" s="335">
        <v>1789085.2132285791</v>
      </c>
      <c r="E76" s="335">
        <v>2085911.1433472196</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606705.57354284171</v>
      </c>
      <c r="C83" s="335">
        <v>605475.91965217714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7.7452914798206276</v>
      </c>
    </row>
    <row r="90" spans="1:6">
      <c r="A90" s="1295" t="s">
        <v>562</v>
      </c>
      <c r="B90" s="1308">
        <v>0</v>
      </c>
    </row>
    <row r="91" spans="1:6">
      <c r="A91" s="1295" t="s">
        <v>68</v>
      </c>
      <c r="B91" s="335">
        <v>3916.125</v>
      </c>
    </row>
    <row r="92" spans="1:6">
      <c r="A92" s="1291" t="s">
        <v>69</v>
      </c>
      <c r="B92" s="338">
        <v>2587.9470000000001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2429</v>
      </c>
    </row>
    <row r="98" spans="1:6">
      <c r="A98" s="1295" t="s">
        <v>72</v>
      </c>
      <c r="B98" s="335">
        <v>2</v>
      </c>
    </row>
    <row r="99" spans="1:6">
      <c r="A99" s="1295" t="s">
        <v>73</v>
      </c>
      <c r="B99" s="335">
        <v>185</v>
      </c>
    </row>
    <row r="100" spans="1:6">
      <c r="A100" s="1295" t="s">
        <v>74</v>
      </c>
      <c r="B100" s="335">
        <v>1198</v>
      </c>
    </row>
    <row r="101" spans="1:6">
      <c r="A101" s="1295" t="s">
        <v>75</v>
      </c>
      <c r="B101" s="335">
        <v>135</v>
      </c>
    </row>
    <row r="102" spans="1:6">
      <c r="A102" s="1295" t="s">
        <v>76</v>
      </c>
      <c r="B102" s="335">
        <v>179</v>
      </c>
    </row>
    <row r="103" spans="1:6">
      <c r="A103" s="1295" t="s">
        <v>77</v>
      </c>
      <c r="B103" s="335">
        <v>534</v>
      </c>
    </row>
    <row r="104" spans="1:6">
      <c r="A104" s="1295" t="s">
        <v>78</v>
      </c>
      <c r="B104" s="335">
        <v>5137</v>
      </c>
    </row>
    <row r="105" spans="1:6">
      <c r="A105" s="1291" t="s">
        <v>79</v>
      </c>
      <c r="B105" s="1291">
        <v>8</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37</v>
      </c>
      <c r="C123" s="335">
        <v>29</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141</v>
      </c>
    </row>
    <row r="130" spans="1:6">
      <c r="A130" s="1295" t="s">
        <v>295</v>
      </c>
      <c r="B130" s="335">
        <v>0</v>
      </c>
    </row>
    <row r="131" spans="1:6">
      <c r="A131" s="1295" t="s">
        <v>296</v>
      </c>
      <c r="B131" s="335">
        <v>2</v>
      </c>
    </row>
    <row r="132" spans="1:6">
      <c r="A132" s="1291" t="s">
        <v>297</v>
      </c>
      <c r="B132" s="338">
        <v>14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125543.58671386461</v>
      </c>
      <c r="C3" s="43" t="s">
        <v>170</v>
      </c>
      <c r="D3" s="43"/>
      <c r="E3" s="156"/>
      <c r="F3" s="43"/>
      <c r="G3" s="43"/>
      <c r="H3" s="43"/>
      <c r="I3" s="43"/>
      <c r="J3" s="43"/>
      <c r="K3" s="96"/>
    </row>
    <row r="4" spans="1:11">
      <c r="A4" s="366" t="s">
        <v>171</v>
      </c>
      <c r="B4" s="49">
        <f>IF(ISERROR('SEAP template'!B78+'SEAP template'!C78),0,'SEAP template'!B78+'SEAP template'!C78)</f>
        <v>7861.8172914798206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320.82352941176475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0.20971596607133716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458.31932773109253</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1928.5714285714287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1838.4649999999999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1838.4649999999999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0.20971596607133716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385.55546356334088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49161.288752502733</v>
      </c>
      <c r="C5" s="17">
        <f>IF(ISERROR('Eigen informatie GS &amp; warmtenet'!B57),0,'Eigen informatie GS &amp; warmtenet'!B57)</f>
        <v>0</v>
      </c>
      <c r="D5" s="30">
        <f>(SUM(HH_hh_gas_kWh,HH_rest_gas_kWh)/1000)*0.902</f>
        <v>82680.76140965338</v>
      </c>
      <c r="E5" s="17">
        <f>B46*B57</f>
        <v>7605.830299367527</v>
      </c>
      <c r="F5" s="17">
        <f>B51*B62</f>
        <v>63649.603916835338</v>
      </c>
      <c r="G5" s="18"/>
      <c r="H5" s="17"/>
      <c r="I5" s="17"/>
      <c r="J5" s="17">
        <f>B50*B61+C50*C61</f>
        <v>9881.9188079490232</v>
      </c>
      <c r="K5" s="17"/>
      <c r="L5" s="17"/>
      <c r="M5" s="17"/>
      <c r="N5" s="17">
        <f>B48*B59+C48*C59</f>
        <v>20807.298538222967</v>
      </c>
      <c r="O5" s="17">
        <f>B69*B70*B71</f>
        <v>267.33000000000004</v>
      </c>
      <c r="P5" s="17">
        <f>B77*B78*B79/1000-B77*B78*B79/1000/B80</f>
        <v>972.4</v>
      </c>
    </row>
    <row r="6" spans="1:16">
      <c r="A6" s="16" t="s">
        <v>634</v>
      </c>
      <c r="B6" s="783">
        <f>kWh_PV_kleiner_dan_10kW</f>
        <v>3916.125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53077.413752502733</v>
      </c>
      <c r="C8" s="21">
        <f>C5</f>
        <v>0</v>
      </c>
      <c r="D8" s="21">
        <f>D5</f>
        <v>82680.76140965338</v>
      </c>
      <c r="E8" s="21">
        <f>E5</f>
        <v>7605.830299367527</v>
      </c>
      <c r="F8" s="21">
        <f>F5</f>
        <v>63649.603916835338</v>
      </c>
      <c r="G8" s="21"/>
      <c r="H8" s="21"/>
      <c r="I8" s="21"/>
      <c r="J8" s="21">
        <f>J5</f>
        <v>9881.9188079490232</v>
      </c>
      <c r="K8" s="21"/>
      <c r="L8" s="21">
        <f>L5</f>
        <v>0</v>
      </c>
      <c r="M8" s="21">
        <f>M5</f>
        <v>0</v>
      </c>
      <c r="N8" s="21">
        <f>N5</f>
        <v>20807.298538222967</v>
      </c>
      <c r="O8" s="21">
        <f>O5</f>
        <v>267.33000000000004</v>
      </c>
      <c r="P8" s="21">
        <f>P5</f>
        <v>972.4</v>
      </c>
    </row>
    <row r="9" spans="1:16">
      <c r="B9" s="19"/>
      <c r="C9" s="19"/>
      <c r="D9" s="261"/>
      <c r="E9" s="19"/>
      <c r="F9" s="19"/>
      <c r="G9" s="19"/>
      <c r="H9" s="19"/>
      <c r="I9" s="19"/>
      <c r="J9" s="19"/>
      <c r="K9" s="19"/>
      <c r="L9" s="19"/>
      <c r="M9" s="19"/>
      <c r="N9" s="19"/>
      <c r="O9" s="19"/>
      <c r="P9" s="19"/>
    </row>
    <row r="10" spans="1:16">
      <c r="A10" s="24" t="s">
        <v>214</v>
      </c>
      <c r="B10" s="25">
        <f ca="1">'EF ele_warmte'!B12</f>
        <v>0.20971596607133716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11131.181101674187</v>
      </c>
      <c r="C12" s="23">
        <f ca="1">C10*C8</f>
        <v>0</v>
      </c>
      <c r="D12" s="23">
        <f>D8*D10</f>
        <v>16701.513804749982</v>
      </c>
      <c r="E12" s="23">
        <f>E10*E8</f>
        <v>1726.5234779564287</v>
      </c>
      <c r="F12" s="23">
        <f>F10*F8</f>
        <v>16994.444245795035</v>
      </c>
      <c r="G12" s="23"/>
      <c r="H12" s="23"/>
      <c r="I12" s="23"/>
      <c r="J12" s="23">
        <f>J10*J8</f>
        <v>3498.199258013954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2429</v>
      </c>
      <c r="C18" s="168" t="s">
        <v>111</v>
      </c>
      <c r="D18" s="230"/>
      <c r="E18" s="15"/>
    </row>
    <row r="19" spans="1:7">
      <c r="A19" s="173" t="s">
        <v>72</v>
      </c>
      <c r="B19" s="37">
        <f>aantalw2001_ander</f>
        <v>2</v>
      </c>
      <c r="C19" s="168" t="s">
        <v>111</v>
      </c>
      <c r="D19" s="231"/>
      <c r="E19" s="15"/>
    </row>
    <row r="20" spans="1:7">
      <c r="A20" s="173" t="s">
        <v>73</v>
      </c>
      <c r="B20" s="37">
        <f>aantalw2001_propaan</f>
        <v>185</v>
      </c>
      <c r="C20" s="169">
        <f>IF(ISERROR(B20/SUM($B$20,$B$21,$B$22)*100),0,B20/SUM($B$20,$B$21,$B$22)*100)</f>
        <v>12.187088274044795</v>
      </c>
      <c r="D20" s="231"/>
      <c r="E20" s="15"/>
    </row>
    <row r="21" spans="1:7">
      <c r="A21" s="173" t="s">
        <v>74</v>
      </c>
      <c r="B21" s="37">
        <f>aantalw2001_elektriciteit</f>
        <v>1198</v>
      </c>
      <c r="C21" s="169">
        <f>IF(ISERROR(B21/SUM($B$20,$B$21,$B$22)*100),0,B21/SUM($B$20,$B$21,$B$22)*100)</f>
        <v>78.91963109354414</v>
      </c>
      <c r="D21" s="231"/>
      <c r="E21" s="15"/>
    </row>
    <row r="22" spans="1:7">
      <c r="A22" s="173" t="s">
        <v>75</v>
      </c>
      <c r="B22" s="37">
        <f>aantalw2001_hout</f>
        <v>135</v>
      </c>
      <c r="C22" s="169">
        <f>IF(ISERROR(B22/SUM($B$20,$B$21,$B$22)*100),0,B22/SUM($B$20,$B$21,$B$22)*100)</f>
        <v>8.8932806324110665</v>
      </c>
      <c r="D22" s="231"/>
      <c r="E22" s="15"/>
    </row>
    <row r="23" spans="1:7">
      <c r="A23" s="173" t="s">
        <v>76</v>
      </c>
      <c r="B23" s="37">
        <f>aantalw2001_niet_gespec</f>
        <v>179</v>
      </c>
      <c r="C23" s="168" t="s">
        <v>111</v>
      </c>
      <c r="D23" s="230"/>
      <c r="E23" s="15"/>
    </row>
    <row r="24" spans="1:7">
      <c r="A24" s="173" t="s">
        <v>77</v>
      </c>
      <c r="B24" s="37">
        <f>aantalw2001_steenkool</f>
        <v>534</v>
      </c>
      <c r="C24" s="168" t="s">
        <v>111</v>
      </c>
      <c r="D24" s="231"/>
      <c r="E24" s="15"/>
    </row>
    <row r="25" spans="1:7">
      <c r="A25" s="173" t="s">
        <v>78</v>
      </c>
      <c r="B25" s="37">
        <f>aantalw2001_stookolie</f>
        <v>5137</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11146</v>
      </c>
      <c r="C28" s="36"/>
      <c r="D28" s="230"/>
    </row>
    <row r="29" spans="1:7" s="15" customFormat="1">
      <c r="A29" s="232" t="s">
        <v>746</v>
      </c>
      <c r="B29" s="37">
        <f>SUM(HH_hh_gas_aantal,HH_rest_gas_aantal)</f>
        <v>5340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5340</v>
      </c>
      <c r="C32" s="169">
        <f>IF(ISERROR(B32/SUM($B$32,$B$34,$B$35,$B$36,$B$38,$B$39)*100),0,B32/SUM($B$32,$B$34,$B$35,$B$36,$B$38,$B$39)*100)</f>
        <v>48.129788192879673</v>
      </c>
      <c r="D32" s="235"/>
      <c r="G32" s="15"/>
    </row>
    <row r="33" spans="1:7">
      <c r="A33" s="173" t="s">
        <v>72</v>
      </c>
      <c r="B33" s="34" t="s">
        <v>111</v>
      </c>
      <c r="C33" s="169"/>
      <c r="D33" s="235"/>
      <c r="G33" s="15"/>
    </row>
    <row r="34" spans="1:7">
      <c r="A34" s="173" t="s">
        <v>73</v>
      </c>
      <c r="B34" s="33">
        <f>IF((($B$28-$B$32-$B$39-$B$77-$B$38)*C20/100)&lt;0,0,($B$28-$B$32-$B$39-$B$77-$B$38)*C20/100)</f>
        <v>365.00329380764163</v>
      </c>
      <c r="C34" s="169">
        <f>IF(ISERROR(B34/SUM($B$32,$B$34,$B$35,$B$36,$B$38,$B$39)*100),0,B34/SUM($B$32,$B$34,$B$35,$B$36,$B$38,$B$39)*100)</f>
        <v>3.2897998540571578</v>
      </c>
      <c r="D34" s="235"/>
      <c r="G34" s="15"/>
    </row>
    <row r="35" spans="1:7">
      <c r="A35" s="173" t="s">
        <v>74</v>
      </c>
      <c r="B35" s="33">
        <f>IF((($B$28-$B$32-$B$39-$B$77-$B$38)*C21/100)&lt;0,0,($B$28-$B$32-$B$39-$B$77-$B$38)*C21/100)</f>
        <v>2363.642951251647</v>
      </c>
      <c r="C35" s="169">
        <f>IF(ISERROR(B35/SUM($B$32,$B$34,$B$35,$B$36,$B$38,$B$39)*100),0,B35/SUM($B$32,$B$34,$B$35,$B$36,$B$38,$B$39)*100)</f>
        <v>21.303676892759324</v>
      </c>
      <c r="D35" s="235"/>
      <c r="G35" s="15"/>
    </row>
    <row r="36" spans="1:7">
      <c r="A36" s="173" t="s">
        <v>75</v>
      </c>
      <c r="B36" s="33">
        <f>IF((($B$28-$B$32-$B$39-$B$77-$B$38)*C22/100)&lt;0,0,($B$28-$B$32-$B$39-$B$77-$B$38)*C22/100)</f>
        <v>266.35375494071144</v>
      </c>
      <c r="C36" s="169">
        <f>IF(ISERROR(B36/SUM($B$32,$B$34,$B$35,$B$36,$B$38,$B$39)*100),0,B36/SUM($B$32,$B$34,$B$35,$B$36,$B$38,$B$39)*100)</f>
        <v>2.4006647583660339</v>
      </c>
      <c r="D36" s="235"/>
      <c r="G36" s="15"/>
    </row>
    <row r="37" spans="1:7">
      <c r="A37" s="173" t="s">
        <v>76</v>
      </c>
      <c r="B37" s="34" t="s">
        <v>111</v>
      </c>
      <c r="C37" s="169"/>
      <c r="D37" s="175"/>
      <c r="G37" s="15"/>
    </row>
    <row r="38" spans="1:7">
      <c r="A38" s="173" t="s">
        <v>77</v>
      </c>
      <c r="B38" s="33">
        <f>IF((B24-(B29-B18)*0.1)&lt;0,0,B24-(B29-B18)*0.1)</f>
        <v>242.89999999999998</v>
      </c>
      <c r="C38" s="169">
        <f>IF(ISERROR(B38/SUM($B$32,$B$34,$B$35,$B$36,$B$38,$B$39)*100),0,B38/SUM($B$32,$B$34,$B$35,$B$36,$B$38,$B$39)*100)</f>
        <v>2.1892744479495265</v>
      </c>
      <c r="D38" s="236"/>
      <c r="G38" s="15"/>
    </row>
    <row r="39" spans="1:7">
      <c r="A39" s="173" t="s">
        <v>78</v>
      </c>
      <c r="B39" s="33">
        <f>IF((B25-(B29-B18))&lt;0,0,B25-(B29-B18)*0.9)</f>
        <v>2517.1</v>
      </c>
      <c r="C39" s="169">
        <f>IF(ISERROR(B39/SUM($B$32,$B$34,$B$35,$B$36,$B$38,$B$39)*100),0,B39/SUM($B$32,$B$34,$B$35,$B$36,$B$38,$B$39)*100)</f>
        <v>22.686795853988283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5340</v>
      </c>
      <c r="C44" s="34" t="s">
        <v>111</v>
      </c>
      <c r="D44" s="176"/>
    </row>
    <row r="45" spans="1:7">
      <c r="A45" s="173" t="s">
        <v>72</v>
      </c>
      <c r="B45" s="33" t="str">
        <f t="shared" si="0"/>
        <v>-</v>
      </c>
      <c r="C45" s="34" t="s">
        <v>111</v>
      </c>
      <c r="D45" s="176"/>
    </row>
    <row r="46" spans="1:7">
      <c r="A46" s="173" t="s">
        <v>73</v>
      </c>
      <c r="B46" s="33">
        <f t="shared" si="0"/>
        <v>365.00329380764163</v>
      </c>
      <c r="C46" s="34" t="s">
        <v>111</v>
      </c>
      <c r="D46" s="176"/>
    </row>
    <row r="47" spans="1:7">
      <c r="A47" s="173" t="s">
        <v>74</v>
      </c>
      <c r="B47" s="33">
        <f t="shared" si="0"/>
        <v>2363.642951251647</v>
      </c>
      <c r="C47" s="34" t="s">
        <v>111</v>
      </c>
      <c r="D47" s="176"/>
    </row>
    <row r="48" spans="1:7">
      <c r="A48" s="173" t="s">
        <v>75</v>
      </c>
      <c r="B48" s="33">
        <f t="shared" si="0"/>
        <v>266.35375494071144</v>
      </c>
      <c r="C48" s="33">
        <f>B48*10</f>
        <v>2663.5375494071145</v>
      </c>
      <c r="D48" s="236"/>
    </row>
    <row r="49" spans="1:6">
      <c r="A49" s="173" t="s">
        <v>76</v>
      </c>
      <c r="B49" s="33" t="str">
        <f t="shared" si="0"/>
        <v>-</v>
      </c>
      <c r="C49" s="34" t="s">
        <v>111</v>
      </c>
      <c r="D49" s="236"/>
    </row>
    <row r="50" spans="1:6">
      <c r="A50" s="173" t="s">
        <v>77</v>
      </c>
      <c r="B50" s="33">
        <f t="shared" si="0"/>
        <v>242.89999999999998</v>
      </c>
      <c r="C50" s="33">
        <f>B50*2</f>
        <v>485.79999999999995</v>
      </c>
      <c r="D50" s="236"/>
    </row>
    <row r="51" spans="1:6">
      <c r="A51" s="173" t="s">
        <v>78</v>
      </c>
      <c r="B51" s="33">
        <f t="shared" si="0"/>
        <v>2517.1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35341.815724469947</v>
      </c>
      <c r="C5" s="17">
        <f>IF(ISERROR('Eigen informatie GS &amp; warmtenet'!B58),0,'Eigen informatie GS &amp; warmtenet'!B58)</f>
        <v>0</v>
      </c>
      <c r="D5" s="30">
        <f>SUM(D6:D12)</f>
        <v>43392.456066015293</v>
      </c>
      <c r="E5" s="17">
        <f>SUM(E6:E12)</f>
        <v>419.41396729030248</v>
      </c>
      <c r="F5" s="17">
        <f>SUM(F6:F12)</f>
        <v>6702.6448090531276</v>
      </c>
      <c r="G5" s="18"/>
      <c r="H5" s="17"/>
      <c r="I5" s="17"/>
      <c r="J5" s="17">
        <f>SUM(J6:J12)</f>
        <v>0</v>
      </c>
      <c r="K5" s="17"/>
      <c r="L5" s="17"/>
      <c r="M5" s="17"/>
      <c r="N5" s="17">
        <f>SUM(N6:N12)</f>
        <v>1662.5480864678793</v>
      </c>
      <c r="O5" s="17">
        <f>B38*B39*B40</f>
        <v>0</v>
      </c>
      <c r="P5" s="17">
        <f>B46*B47*B48/1000-B46*B47*B48/1000/B49</f>
        <v>38.133333333333333</v>
      </c>
      <c r="R5" s="32"/>
    </row>
    <row r="6" spans="1:18">
      <c r="A6" s="32" t="s">
        <v>54</v>
      </c>
      <c r="B6" s="37">
        <f>B26</f>
        <v>5199.2504135482404</v>
      </c>
      <c r="C6" s="33"/>
      <c r="D6" s="37">
        <f>IF(ISERROR(TER_kantoor_gas_kWh/1000),0,TER_kantoor_gas_kWh/1000)*0.902</f>
        <v>8955.739229520048</v>
      </c>
      <c r="E6" s="33">
        <f>$C$26*'E Balans VL '!I12/100/3.6*1000000</f>
        <v>20.200188602082225</v>
      </c>
      <c r="F6" s="33">
        <f>$C$26*('E Balans VL '!L12+'E Balans VL '!N12)/100/3.6*1000000</f>
        <v>790.75867849375743</v>
      </c>
      <c r="G6" s="34"/>
      <c r="H6" s="33"/>
      <c r="I6" s="33"/>
      <c r="J6" s="33">
        <f>$C$26*('E Balans VL '!D12+'E Balans VL '!E12)/100/3.6*1000000</f>
        <v>0</v>
      </c>
      <c r="K6" s="33"/>
      <c r="L6" s="33"/>
      <c r="M6" s="33"/>
      <c r="N6" s="33">
        <f>$C$26*'E Balans VL '!Y12/100/3.6*1000000</f>
        <v>2.8654098327256121</v>
      </c>
      <c r="O6" s="33"/>
      <c r="P6" s="33"/>
      <c r="R6" s="32"/>
    </row>
    <row r="7" spans="1:18">
      <c r="A7" s="32" t="s">
        <v>53</v>
      </c>
      <c r="B7" s="37">
        <f t="shared" ref="B7:B12" si="0">B27</f>
        <v>2796.0071139218499</v>
      </c>
      <c r="C7" s="33"/>
      <c r="D7" s="37">
        <f>IF(ISERROR(TER_horeca_gas_kWh/1000),0,TER_horeca_gas_kWh/1000)*0.902</f>
        <v>3569.7726731123207</v>
      </c>
      <c r="E7" s="33">
        <f>$C$27*'E Balans VL '!I9/100/3.6*1000000</f>
        <v>157.49982825566767</v>
      </c>
      <c r="F7" s="33">
        <f>$C$27*('E Balans VL '!L9+'E Balans VL '!N9)/100/3.6*1000000</f>
        <v>806.20105812632187</v>
      </c>
      <c r="G7" s="34"/>
      <c r="H7" s="33"/>
      <c r="I7" s="33"/>
      <c r="J7" s="33">
        <f>$C$27*('E Balans VL '!D9+'E Balans VL '!E9)/100/3.6*1000000</f>
        <v>0</v>
      </c>
      <c r="K7" s="33"/>
      <c r="L7" s="33"/>
      <c r="M7" s="33"/>
      <c r="N7" s="33">
        <f>$C$27*'E Balans VL '!Y9/100/3.6*1000000</f>
        <v>0.77196303473383021</v>
      </c>
      <c r="O7" s="33"/>
      <c r="P7" s="33"/>
      <c r="R7" s="32"/>
    </row>
    <row r="8" spans="1:18">
      <c r="A8" s="6" t="s">
        <v>52</v>
      </c>
      <c r="B8" s="37">
        <f t="shared" si="0"/>
        <v>13785.544490999901</v>
      </c>
      <c r="C8" s="33"/>
      <c r="D8" s="37">
        <f>IF(ISERROR(TER_handel_gas_kWh/1000),0,TER_handel_gas_kWh/1000)*0.902</f>
        <v>6681.6990510553605</v>
      </c>
      <c r="E8" s="33">
        <f>$C$28*'E Balans VL '!I13/100/3.6*1000000</f>
        <v>198.69646581531907</v>
      </c>
      <c r="F8" s="33">
        <f>$C$28*('E Balans VL '!L13+'E Balans VL '!N13)/100/3.6*1000000</f>
        <v>2394.8701217542202</v>
      </c>
      <c r="G8" s="34"/>
      <c r="H8" s="33"/>
      <c r="I8" s="33"/>
      <c r="J8" s="33">
        <f>$C$28*('E Balans VL '!D13+'E Balans VL '!E13)/100/3.6*1000000</f>
        <v>0</v>
      </c>
      <c r="K8" s="33"/>
      <c r="L8" s="33"/>
      <c r="M8" s="33"/>
      <c r="N8" s="33">
        <f>$C$28*'E Balans VL '!Y13/100/3.6*1000000</f>
        <v>41.30302593346223</v>
      </c>
      <c r="O8" s="33"/>
      <c r="P8" s="33"/>
      <c r="R8" s="32"/>
    </row>
    <row r="9" spans="1:18">
      <c r="A9" s="32" t="s">
        <v>51</v>
      </c>
      <c r="B9" s="37">
        <f t="shared" si="0"/>
        <v>8772.0600123122094</v>
      </c>
      <c r="C9" s="33"/>
      <c r="D9" s="37">
        <f>IF(ISERROR(TER_gezond_gas_kWh/1000),0,TER_gezond_gas_kWh/1000)*0.902</f>
        <v>12214.002060081317</v>
      </c>
      <c r="E9" s="33">
        <f>$C$29*'E Balans VL '!I10/100/3.6*1000000</f>
        <v>9.3708337276080496</v>
      </c>
      <c r="F9" s="33">
        <f>$C$29*('E Balans VL '!L10+'E Balans VL '!N10)/100/3.6*1000000</f>
        <v>1430.9895809158581</v>
      </c>
      <c r="G9" s="34"/>
      <c r="H9" s="33"/>
      <c r="I9" s="33"/>
      <c r="J9" s="33">
        <f>$C$29*('E Balans VL '!D10+'E Balans VL '!E10)/100/3.6*1000000</f>
        <v>0</v>
      </c>
      <c r="K9" s="33"/>
      <c r="L9" s="33"/>
      <c r="M9" s="33"/>
      <c r="N9" s="33">
        <f>$C$29*'E Balans VL '!Y10/100/3.6*1000000</f>
        <v>90.303352589167176</v>
      </c>
      <c r="O9" s="33"/>
      <c r="P9" s="33"/>
      <c r="R9" s="32"/>
    </row>
    <row r="10" spans="1:18">
      <c r="A10" s="32" t="s">
        <v>50</v>
      </c>
      <c r="B10" s="37">
        <f t="shared" si="0"/>
        <v>1970.5275715966002</v>
      </c>
      <c r="C10" s="33"/>
      <c r="D10" s="37">
        <f>IF(ISERROR(TER_ander_gas_kWh/1000),0,TER_ander_gas_kWh/1000)*0.902</f>
        <v>3273.5344642031969</v>
      </c>
      <c r="E10" s="33">
        <f>$C$30*'E Balans VL '!I14/100/3.6*1000000</f>
        <v>9.0621565622783731</v>
      </c>
      <c r="F10" s="33">
        <f>$C$30*('E Balans VL '!L14+'E Balans VL '!N14)/100/3.6*1000000</f>
        <v>590.62926923358714</v>
      </c>
      <c r="G10" s="34"/>
      <c r="H10" s="33"/>
      <c r="I10" s="33"/>
      <c r="J10" s="33">
        <f>$C$30*('E Balans VL '!D14+'E Balans VL '!E14)/100/3.6*1000000</f>
        <v>0</v>
      </c>
      <c r="K10" s="33"/>
      <c r="L10" s="33"/>
      <c r="M10" s="33"/>
      <c r="N10" s="33">
        <f>$C$30*'E Balans VL '!Y14/100/3.6*1000000</f>
        <v>1371.6172658709509</v>
      </c>
      <c r="O10" s="33"/>
      <c r="P10" s="33"/>
      <c r="R10" s="32"/>
    </row>
    <row r="11" spans="1:18">
      <c r="A11" s="32" t="s">
        <v>55</v>
      </c>
      <c r="B11" s="37">
        <f t="shared" si="0"/>
        <v>857.14369233760601</v>
      </c>
      <c r="C11" s="33"/>
      <c r="D11" s="37">
        <f>IF(ISERROR(TER_onderwijs_gas_kWh/1000),0,TER_onderwijs_gas_kWh/1000)*0.902</f>
        <v>3425.5187196244674</v>
      </c>
      <c r="E11" s="33">
        <f>$C$31*'E Balans VL '!I11/100/3.6*1000000</f>
        <v>0.79511349656287078</v>
      </c>
      <c r="F11" s="33">
        <f>$C$31*('E Balans VL '!L11+'E Balans VL '!N11)/100/3.6*1000000</f>
        <v>301.09487908679017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1961.2824297535301</v>
      </c>
      <c r="C12" s="33"/>
      <c r="D12" s="37">
        <f>IF(ISERROR(TER_rest_gas_kWh/1000),0,TER_rest_gas_kWh/1000)*0.902</f>
        <v>5272.1898684185771</v>
      </c>
      <c r="E12" s="33">
        <f>$C$32*'E Balans VL '!I8/100/3.6*1000000</f>
        <v>23.789380830784324</v>
      </c>
      <c r="F12" s="33">
        <f>$C$32*('E Balans VL '!L8+'E Balans VL '!N8)/100/3.6*1000000</f>
        <v>388.10122144259196</v>
      </c>
      <c r="G12" s="34"/>
      <c r="H12" s="33"/>
      <c r="I12" s="33"/>
      <c r="J12" s="33">
        <f>$C$32*('E Balans VL '!D8+'E Balans VL '!E8)/100/3.6*1000000</f>
        <v>0</v>
      </c>
      <c r="K12" s="33"/>
      <c r="L12" s="33"/>
      <c r="M12" s="33"/>
      <c r="N12" s="33">
        <f>$C$32*'E Balans VL '!Y8/100/3.6*1000000</f>
        <v>155.68706920683957</v>
      </c>
      <c r="O12" s="33"/>
      <c r="P12" s="33"/>
      <c r="R12" s="32"/>
    </row>
    <row r="13" spans="1:18">
      <c r="A13" s="16" t="s">
        <v>497</v>
      </c>
      <c r="B13" s="249">
        <f ca="1">'lokale energieproductie'!N91+'lokale energieproductie'!N60</f>
        <v>1350</v>
      </c>
      <c r="C13" s="249">
        <f ca="1">'lokale energieproductie'!O91+'lokale energieproductie'!O60</f>
        <v>1928.5714285714287</v>
      </c>
      <c r="D13" s="312">
        <f ca="1">('lokale energieproductie'!P60+'lokale energieproductie'!P91)*(-1)</f>
        <v>-3857.1428571428573</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36691.815724469947</v>
      </c>
      <c r="C16" s="21">
        <f t="shared" ca="1" si="1"/>
        <v>1928.5714285714287</v>
      </c>
      <c r="D16" s="21">
        <f t="shared" ca="1" si="1"/>
        <v>39535.313208872438</v>
      </c>
      <c r="E16" s="21">
        <f t="shared" si="1"/>
        <v>419.41396729030248</v>
      </c>
      <c r="F16" s="21">
        <f t="shared" ca="1" si="1"/>
        <v>6702.6448090531276</v>
      </c>
      <c r="G16" s="21">
        <f t="shared" si="1"/>
        <v>0</v>
      </c>
      <c r="H16" s="21">
        <f t="shared" si="1"/>
        <v>0</v>
      </c>
      <c r="I16" s="21">
        <f t="shared" si="1"/>
        <v>0</v>
      </c>
      <c r="J16" s="21">
        <f t="shared" si="1"/>
        <v>0</v>
      </c>
      <c r="K16" s="21">
        <f t="shared" si="1"/>
        <v>0</v>
      </c>
      <c r="L16" s="21">
        <f t="shared" ca="1" si="1"/>
        <v>0</v>
      </c>
      <c r="M16" s="21">
        <f t="shared" si="1"/>
        <v>0</v>
      </c>
      <c r="N16" s="21">
        <f t="shared" ca="1" si="1"/>
        <v>1662.5480864678793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0.20971596607133716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7694.8595815686949</v>
      </c>
      <c r="C20" s="23">
        <f t="shared" ref="C20:P20" ca="1" si="2">C16*C18</f>
        <v>458.31932773109253</v>
      </c>
      <c r="D20" s="23">
        <f t="shared" ca="1" si="2"/>
        <v>7986.1332681922331</v>
      </c>
      <c r="E20" s="23">
        <f t="shared" si="2"/>
        <v>95.206970574898662</v>
      </c>
      <c r="F20" s="23">
        <f t="shared" ca="1" si="2"/>
        <v>1789.6061640171852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5199.2504135482404</v>
      </c>
      <c r="C26" s="39">
        <f>IF(ISERROR(B26*3.6/1000000/'E Balans VL '!Z12*100),0,B26*3.6/1000000/'E Balans VL '!Z12*100)</f>
        <v>0.11043465415762548</v>
      </c>
      <c r="D26" s="239" t="s">
        <v>692</v>
      </c>
      <c r="F26" s="6"/>
    </row>
    <row r="27" spans="1:18">
      <c r="A27" s="233" t="s">
        <v>53</v>
      </c>
      <c r="B27" s="33">
        <f>IF(ISERROR(TER_horeca_ele_kWh/1000),0,TER_horeca_ele_kWh/1000)</f>
        <v>2796.0071139218499</v>
      </c>
      <c r="C27" s="39">
        <f>IF(ISERROR(B27*3.6/1000000/'E Balans VL '!Z9*100),0,B27*3.6/1000000/'E Balans VL '!Z9*100)</f>
        <v>0.21740658100966315</v>
      </c>
      <c r="D27" s="239" t="s">
        <v>692</v>
      </c>
      <c r="F27" s="6"/>
    </row>
    <row r="28" spans="1:18">
      <c r="A28" s="173" t="s">
        <v>52</v>
      </c>
      <c r="B28" s="33">
        <f>IF(ISERROR(TER_handel_ele_kWh/1000),0,TER_handel_ele_kWh/1000)</f>
        <v>13785.544490999901</v>
      </c>
      <c r="C28" s="39">
        <f>IF(ISERROR(B28*3.6/1000000/'E Balans VL '!Z13*100),0,B28*3.6/1000000/'E Balans VL '!Z13*100)</f>
        <v>0.3944206518504077</v>
      </c>
      <c r="D28" s="239" t="s">
        <v>692</v>
      </c>
      <c r="F28" s="6"/>
    </row>
    <row r="29" spans="1:18">
      <c r="A29" s="233" t="s">
        <v>51</v>
      </c>
      <c r="B29" s="33">
        <f>IF(ISERROR(TER_gezond_ele_kWh/1000),0,TER_gezond_ele_kWh/1000)</f>
        <v>8772.0600123122094</v>
      </c>
      <c r="C29" s="39">
        <f>IF(ISERROR(B29*3.6/1000000/'E Balans VL '!Z10*100),0,B29*3.6/1000000/'E Balans VL '!Z10*100)</f>
        <v>0.95635837957002601</v>
      </c>
      <c r="D29" s="239" t="s">
        <v>692</v>
      </c>
      <c r="F29" s="6"/>
    </row>
    <row r="30" spans="1:18">
      <c r="A30" s="233" t="s">
        <v>50</v>
      </c>
      <c r="B30" s="33">
        <f>IF(ISERROR(TER_ander_ele_kWh/1000),0,TER_ander_ele_kWh/1000)</f>
        <v>1970.5275715966002</v>
      </c>
      <c r="C30" s="39">
        <f>IF(ISERROR(B30*3.6/1000000/'E Balans VL '!Z14*100),0,B30*3.6/1000000/'E Balans VL '!Z14*100)</f>
        <v>0.14419873765360725</v>
      </c>
      <c r="D30" s="239" t="s">
        <v>692</v>
      </c>
      <c r="F30" s="6"/>
    </row>
    <row r="31" spans="1:18">
      <c r="A31" s="233" t="s">
        <v>55</v>
      </c>
      <c r="B31" s="33">
        <f>IF(ISERROR(TER_onderwijs_ele_kWh/1000),0,TER_onderwijs_ele_kWh/1000)</f>
        <v>857.14369233760601</v>
      </c>
      <c r="C31" s="39">
        <f>IF(ISERROR(B31*3.6/1000000/'E Balans VL '!Z11*100),0,B31*3.6/1000000/'E Balans VL '!Z11*100)</f>
        <v>0.17215794710336271</v>
      </c>
      <c r="D31" s="239" t="s">
        <v>692</v>
      </c>
    </row>
    <row r="32" spans="1:18">
      <c r="A32" s="233" t="s">
        <v>260</v>
      </c>
      <c r="B32" s="33">
        <f>IF(ISERROR(TER_rest_ele_kWh/1000),0,TER_rest_ele_kWh/1000)</f>
        <v>1961.2824297535301</v>
      </c>
      <c r="C32" s="39">
        <f>IF(ISERROR(B32*3.6/1000000/'E Balans VL '!Z8*100),0,B32*3.6/1000000/'E Balans VL '!Z8*100)</f>
        <v>1.5983261560659878E-2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30961.251790170438</v>
      </c>
      <c r="C5" s="17">
        <f>IF(ISERROR('Eigen informatie GS &amp; warmtenet'!B59),0,'Eigen informatie GS &amp; warmtenet'!B59)</f>
        <v>0</v>
      </c>
      <c r="D5" s="30">
        <f>SUM(D6:D15)</f>
        <v>9088.0015809368961</v>
      </c>
      <c r="E5" s="17">
        <f>SUM(E6:E15)</f>
        <v>5585.3891313508157</v>
      </c>
      <c r="F5" s="17">
        <f>SUM(F6:F15)</f>
        <v>20212.884874936648</v>
      </c>
      <c r="G5" s="18"/>
      <c r="H5" s="17"/>
      <c r="I5" s="17"/>
      <c r="J5" s="17">
        <f>SUM(J6:J15)</f>
        <v>23.361652478300467</v>
      </c>
      <c r="K5" s="17"/>
      <c r="L5" s="17"/>
      <c r="M5" s="17"/>
      <c r="N5" s="17">
        <f>SUM(N6:N15)</f>
        <v>8669.6493598378183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279.237393309119</v>
      </c>
      <c r="C8" s="33"/>
      <c r="D8" s="37">
        <f>IF( ISERROR(IND_metaal_Gas_kWH/1000),0,IND_metaal_Gas_kWH/1000)*0.902</f>
        <v>0</v>
      </c>
      <c r="E8" s="33">
        <f>C30*'E Balans VL '!I18/100/3.6*1000000</f>
        <v>8.0207460644294759</v>
      </c>
      <c r="F8" s="33">
        <f>C30*'E Balans VL '!L18/100/3.6*1000000+C30*'E Balans VL '!N18/100/3.6*1000000</f>
        <v>71.61902087691324</v>
      </c>
      <c r="G8" s="34"/>
      <c r="H8" s="33"/>
      <c r="I8" s="33"/>
      <c r="J8" s="40">
        <f>C30*'E Balans VL '!D18/100/3.6*1000000+C30*'E Balans VL '!E18/100/3.6*1000000</f>
        <v>0</v>
      </c>
      <c r="K8" s="33"/>
      <c r="L8" s="33"/>
      <c r="M8" s="33"/>
      <c r="N8" s="33">
        <f>C30*'E Balans VL '!Y18/100/3.6*1000000</f>
        <v>7.581865232619232</v>
      </c>
      <c r="O8" s="33"/>
      <c r="P8" s="33"/>
      <c r="R8" s="32"/>
    </row>
    <row r="9" spans="1:18">
      <c r="A9" s="6" t="s">
        <v>33</v>
      </c>
      <c r="B9" s="37">
        <f t="shared" si="0"/>
        <v>17549.580262668202</v>
      </c>
      <c r="C9" s="33"/>
      <c r="D9" s="37">
        <f>IF( ISERROR(IND_andere_gas_kWh/1000),0,IND_andere_gas_kWh/1000)*0.902</f>
        <v>1261.9383829993885</v>
      </c>
      <c r="E9" s="33">
        <f>C31*'E Balans VL '!I19/100/3.6*1000000</f>
        <v>4750.239884864558</v>
      </c>
      <c r="F9" s="33">
        <f>C31*'E Balans VL '!L19/100/3.6*1000000+C31*'E Balans VL '!N19/100/3.6*1000000</f>
        <v>11689.877588465899</v>
      </c>
      <c r="G9" s="34"/>
      <c r="H9" s="33"/>
      <c r="I9" s="33"/>
      <c r="J9" s="40">
        <f>C31*'E Balans VL '!D19/100/3.6*1000000+C31*'E Balans VL '!E19/100/3.6*1000000</f>
        <v>0</v>
      </c>
      <c r="K9" s="33"/>
      <c r="L9" s="33"/>
      <c r="M9" s="33"/>
      <c r="N9" s="33">
        <f>C31*'E Balans VL '!Y19/100/3.6*1000000</f>
        <v>5729.6464322753873</v>
      </c>
      <c r="O9" s="33"/>
      <c r="P9" s="33"/>
      <c r="R9" s="32"/>
    </row>
    <row r="10" spans="1:18">
      <c r="A10" s="6" t="s">
        <v>41</v>
      </c>
      <c r="B10" s="37">
        <f t="shared" si="0"/>
        <v>4253.4794067982693</v>
      </c>
      <c r="C10" s="33"/>
      <c r="D10" s="37">
        <f>IF( ISERROR(IND_voed_gas_kWh/1000),0,IND_voed_gas_kWh/1000)*0.902</f>
        <v>1962.0097084727543</v>
      </c>
      <c r="E10" s="33">
        <f>C32*'E Balans VL '!I20/100/3.6*1000000</f>
        <v>346.9235525331203</v>
      </c>
      <c r="F10" s="33">
        <f>C32*'E Balans VL '!L20/100/3.6*1000000+C32*'E Balans VL '!N20/100/3.6*1000000</f>
        <v>6342.3237050018888</v>
      </c>
      <c r="G10" s="34"/>
      <c r="H10" s="33"/>
      <c r="I10" s="33"/>
      <c r="J10" s="40">
        <f>C32*'E Balans VL '!D20/100/3.6*1000000+C32*'E Balans VL '!E20/100/3.6*1000000</f>
        <v>5.6268369520565069E-2</v>
      </c>
      <c r="K10" s="33"/>
      <c r="L10" s="33"/>
      <c r="M10" s="33"/>
      <c r="N10" s="33">
        <f>C32*'E Balans VL '!Y20/100/3.6*1000000</f>
        <v>1249.5221606128523</v>
      </c>
      <c r="O10" s="33"/>
      <c r="P10" s="33"/>
      <c r="R10" s="32"/>
    </row>
    <row r="11" spans="1:18">
      <c r="A11" s="6" t="s">
        <v>40</v>
      </c>
      <c r="B11" s="37">
        <f t="shared" si="0"/>
        <v>63.381132166725699</v>
      </c>
      <c r="C11" s="33"/>
      <c r="D11" s="37">
        <f>IF( ISERROR(IND_textiel_gas_kWh/1000),0,IND_textiel_gas_kWh/1000)*0.902</f>
        <v>0</v>
      </c>
      <c r="E11" s="33">
        <f>C33*'E Balans VL '!I21/100/3.6*1000000</f>
        <v>1.256343715501259E-2</v>
      </c>
      <c r="F11" s="33">
        <f>C33*'E Balans VL '!L21/100/3.6*1000000+C33*'E Balans VL '!N21/100/3.6*1000000</f>
        <v>2.3344035672805816</v>
      </c>
      <c r="G11" s="34"/>
      <c r="H11" s="33"/>
      <c r="I11" s="33"/>
      <c r="J11" s="40">
        <f>C33*'E Balans VL '!D21/100/3.6*1000000+C33*'E Balans VL '!E21/100/3.6*1000000</f>
        <v>0</v>
      </c>
      <c r="K11" s="33"/>
      <c r="L11" s="33"/>
      <c r="M11" s="33"/>
      <c r="N11" s="33">
        <f>C33*'E Balans VL '!Y21/100/3.6*1000000</f>
        <v>0.29470626452522686</v>
      </c>
      <c r="O11" s="33"/>
      <c r="P11" s="33"/>
      <c r="R11" s="32"/>
    </row>
    <row r="12" spans="1:18">
      <c r="A12" s="6" t="s">
        <v>37</v>
      </c>
      <c r="B12" s="37">
        <f t="shared" si="0"/>
        <v>241.930872618271</v>
      </c>
      <c r="C12" s="33"/>
      <c r="D12" s="37">
        <f>IF( ISERROR(IND_min_gas_kWh/1000),0,IND_min_gas_kWh/1000)*0.902</f>
        <v>0</v>
      </c>
      <c r="E12" s="33">
        <f>C34*'E Balans VL '!I22/100/3.6*1000000</f>
        <v>1.8845887832030086</v>
      </c>
      <c r="F12" s="33">
        <f>C34*'E Balans VL '!L22/100/3.6*1000000+C34*'E Balans VL '!N22/100/3.6*1000000</f>
        <v>91.241458045414646</v>
      </c>
      <c r="G12" s="34"/>
      <c r="H12" s="33"/>
      <c r="I12" s="33"/>
      <c r="J12" s="40">
        <f>C34*'E Balans VL '!D22/100/3.6*1000000+C34*'E Balans VL '!E22/100/3.6*1000000</f>
        <v>1.3305986466760604</v>
      </c>
      <c r="K12" s="33"/>
      <c r="L12" s="33"/>
      <c r="M12" s="33"/>
      <c r="N12" s="33">
        <f>C34*'E Balans VL '!Y22/100/3.6*1000000</f>
        <v>0</v>
      </c>
      <c r="O12" s="33"/>
      <c r="P12" s="33"/>
      <c r="R12" s="32"/>
    </row>
    <row r="13" spans="1:18">
      <c r="A13" s="6" t="s">
        <v>39</v>
      </c>
      <c r="B13" s="37">
        <f t="shared" si="0"/>
        <v>0</v>
      </c>
      <c r="C13" s="33"/>
      <c r="D13" s="37">
        <f>IF( ISERROR(IND_papier_gas_kWh/1000),0,IND_papier_gas_kWh/1000)*0.902</f>
        <v>740.86883843069393</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8573.6427226098494</v>
      </c>
      <c r="C15" s="33"/>
      <c r="D15" s="37">
        <f>IF( ISERROR(IND_rest_gas_kWh/1000),0,IND_rest_gas_kWh/1000)*0.902</f>
        <v>5123.1846510340592</v>
      </c>
      <c r="E15" s="33">
        <f>C37*'E Balans VL '!I15/100/3.6*1000000</f>
        <v>478.30779566834929</v>
      </c>
      <c r="F15" s="33">
        <f>C37*'E Balans VL '!L15/100/3.6*1000000+C37*'E Balans VL '!N15/100/3.6*1000000</f>
        <v>2015.4886989792492</v>
      </c>
      <c r="G15" s="34"/>
      <c r="H15" s="33"/>
      <c r="I15" s="33"/>
      <c r="J15" s="40">
        <f>C37*'E Balans VL '!D15/100/3.6*1000000+C37*'E Balans VL '!E15/100/3.6*1000000</f>
        <v>21.974785462103842</v>
      </c>
      <c r="K15" s="33"/>
      <c r="L15" s="33"/>
      <c r="M15" s="33"/>
      <c r="N15" s="33">
        <f>C37*'E Balans VL '!Y15/100/3.6*1000000</f>
        <v>1682.6041954524337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30961.251790170438</v>
      </c>
      <c r="C18" s="21">
        <f>C5+C16</f>
        <v>0</v>
      </c>
      <c r="D18" s="21">
        <f>MAX((D5+D16),0)</f>
        <v>9088.0015809368961</v>
      </c>
      <c r="E18" s="21">
        <f>MAX((E5+E16),0)</f>
        <v>5585.3891313508157</v>
      </c>
      <c r="F18" s="21">
        <f>MAX((F5+F16),0)</f>
        <v>20212.884874936648</v>
      </c>
      <c r="G18" s="21"/>
      <c r="H18" s="21"/>
      <c r="I18" s="21"/>
      <c r="J18" s="21">
        <f>MAX((J5+J16),0)</f>
        <v>23.361652478300467</v>
      </c>
      <c r="K18" s="21"/>
      <c r="L18" s="21">
        <f>MAX((L5+L16),0)</f>
        <v>0</v>
      </c>
      <c r="M18" s="21"/>
      <c r="N18" s="21">
        <f>MAX((N5+N16),0)</f>
        <v>8669.6493598378183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0.20971596607133716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6493.0688299535104</v>
      </c>
      <c r="C22" s="23">
        <f ca="1">C18*C20</f>
        <v>0</v>
      </c>
      <c r="D22" s="23">
        <f>D18*D20</f>
        <v>1835.7763193492531</v>
      </c>
      <c r="E22" s="23">
        <f>E18*E20</f>
        <v>1267.8833328166352</v>
      </c>
      <c r="F22" s="23">
        <f>F18*F20</f>
        <v>5396.8402616080857</v>
      </c>
      <c r="G22" s="23"/>
      <c r="H22" s="23"/>
      <c r="I22" s="23"/>
      <c r="J22" s="23">
        <f>J18*J20</f>
        <v>8.2700249773183643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279.237393309119</v>
      </c>
      <c r="C30" s="39">
        <f>IF(ISERROR(B30*3.6/1000000/'E Balans VL '!Z18*100),0,B30*3.6/1000000/'E Balans VL '!Z18*100)</f>
        <v>2.7476246684485076E-2</v>
      </c>
      <c r="D30" s="239" t="s">
        <v>692</v>
      </c>
    </row>
    <row r="31" spans="1:18">
      <c r="A31" s="6" t="s">
        <v>33</v>
      </c>
      <c r="B31" s="37">
        <f>IF( ISERROR(IND_ander_ele_kWh/1000),0,IND_ander_ele_kWh/1000)</f>
        <v>17549.580262668202</v>
      </c>
      <c r="C31" s="39">
        <f>IF(ISERROR(B31*3.6/1000000/'E Balans VL '!Z19*100),0,B31*3.6/1000000/'E Balans VL '!Z19*100)</f>
        <v>0.76427022127692557</v>
      </c>
      <c r="D31" s="239" t="s">
        <v>692</v>
      </c>
    </row>
    <row r="32" spans="1:18">
      <c r="A32" s="173" t="s">
        <v>41</v>
      </c>
      <c r="B32" s="37">
        <f>IF( ISERROR(IND_voed_ele_kWh/1000),0,IND_voed_ele_kWh/1000)</f>
        <v>4253.4794067982693</v>
      </c>
      <c r="C32" s="39">
        <f>IF(ISERROR(B32*3.6/1000000/'E Balans VL '!Z20*100),0,B32*3.6/1000000/'E Balans VL '!Z20*100)</f>
        <v>0.80703637559373009</v>
      </c>
      <c r="D32" s="239" t="s">
        <v>692</v>
      </c>
    </row>
    <row r="33" spans="1:5">
      <c r="A33" s="173" t="s">
        <v>40</v>
      </c>
      <c r="B33" s="37">
        <f>IF( ISERROR(IND_textiel_ele_kWh/1000),0,IND_textiel_ele_kWh/1000)</f>
        <v>63.381132166725699</v>
      </c>
      <c r="C33" s="39">
        <f>IF(ISERROR(B33*3.6/1000000/'E Balans VL '!Z21*100),0,B33*3.6/1000000/'E Balans VL '!Z21*100)</f>
        <v>3.6187412248134812E-3</v>
      </c>
      <c r="D33" s="239" t="s">
        <v>692</v>
      </c>
    </row>
    <row r="34" spans="1:5">
      <c r="A34" s="173" t="s">
        <v>37</v>
      </c>
      <c r="B34" s="37">
        <f>IF( ISERROR(IND_min_ele_kWh/1000),0,IND_min_ele_kWh/1000)</f>
        <v>241.930872618271</v>
      </c>
      <c r="C34" s="39">
        <f>IF(ISERROR(B34*3.6/1000000/'E Balans VL '!Z22*100),0,B34*3.6/1000000/'E Balans VL '!Z22*100)</f>
        <v>3.4017910084228414E-2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8573.6427226098494</v>
      </c>
      <c r="C37" s="39">
        <f>IF(ISERROR(B37*3.6/1000000/'E Balans VL '!Z15*100),0,B37*3.6/1000000/'E Balans VL '!Z15*100)</f>
        <v>6.6070447781630334E-2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1055.6611927380741</v>
      </c>
      <c r="C5" s="17">
        <f>'Eigen informatie GS &amp; warmtenet'!B60</f>
        <v>0</v>
      </c>
      <c r="D5" s="30">
        <f>IF(ISERROR(SUM(LB_lb_gas_kWh,LB_rest_gas_kWh)/1000),0,SUM(LB_lb_gas_kWh,LB_rest_gas_kWh)/1000)*0.902</f>
        <v>156.88708561524078</v>
      </c>
      <c r="E5" s="17">
        <f>B17*'E Balans VL '!I25/3.6*1000000/100</f>
        <v>13.302690996625481</v>
      </c>
      <c r="F5" s="17">
        <f>B17*('E Balans VL '!L25/3.6*1000000+'E Balans VL '!N25/3.6*1000000)/100</f>
        <v>3642.2955738772057</v>
      </c>
      <c r="G5" s="18"/>
      <c r="H5" s="17"/>
      <c r="I5" s="17"/>
      <c r="J5" s="17">
        <f>('E Balans VL '!D25+'E Balans VL '!E25)/3.6*1000000*landbouw!B17/100</f>
        <v>158.75944305489847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1055.6611927380741</v>
      </c>
      <c r="C8" s="21">
        <f>C5+C6</f>
        <v>0</v>
      </c>
      <c r="D8" s="21">
        <f>MAX((D5+D6),0)</f>
        <v>156.88708561524078</v>
      </c>
      <c r="E8" s="21">
        <f>MAX((E5+E6),0)</f>
        <v>13.302690996625481</v>
      </c>
      <c r="F8" s="21">
        <f>MAX((F5+F6),0)</f>
        <v>3642.2955738772057</v>
      </c>
      <c r="G8" s="21"/>
      <c r="H8" s="21"/>
      <c r="I8" s="21"/>
      <c r="J8" s="21">
        <f>MAX((J5+J6),0)</f>
        <v>158.75944305489847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0.20971596607133716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221.38900687908526</v>
      </c>
      <c r="C12" s="23">
        <f ca="1">C8*C10</f>
        <v>0</v>
      </c>
      <c r="D12" s="23">
        <f>D8*D10</f>
        <v>31.691191294278639</v>
      </c>
      <c r="E12" s="23">
        <f>E8*E10</f>
        <v>3.0197108562339841</v>
      </c>
      <c r="F12" s="23">
        <f>F8*F10</f>
        <v>972.492918225214</v>
      </c>
      <c r="G12" s="23"/>
      <c r="H12" s="23"/>
      <c r="I12" s="23"/>
      <c r="J12" s="23">
        <f>J8*J10</f>
        <v>56.200842841434053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0.14723146387751229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303.01079042390137</v>
      </c>
      <c r="C26" s="249">
        <f>B26*'GWP N2O_CH4'!B5</f>
        <v>6363.2265989019288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46.118247436374958</v>
      </c>
      <c r="C27" s="249">
        <f>B27*'GWP N2O_CH4'!B5</f>
        <v>968.48319616387414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3.9988081410132921</v>
      </c>
      <c r="C28" s="249">
        <f>B28*'GWP N2O_CH4'!B4</f>
        <v>1239.6305237141205</v>
      </c>
      <c r="D28" s="50"/>
    </row>
    <row r="29" spans="1:4">
      <c r="A29" s="41" t="s">
        <v>277</v>
      </c>
      <c r="B29" s="249">
        <f>B34*'ha_N2O bodem landbouw'!B4</f>
        <v>18.834845580255379</v>
      </c>
      <c r="C29" s="249">
        <f>B29*'GWP N2O_CH4'!B4</f>
        <v>5838.8021298791673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4.7028727383599438E-3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2.5967682548522473E-5</v>
      </c>
      <c r="C5" s="448" t="s">
        <v>211</v>
      </c>
      <c r="D5" s="433">
        <f>SUM(D6:D11)</f>
        <v>4.5991896098941944E-5</v>
      </c>
      <c r="E5" s="433">
        <f>SUM(E6:E11)</f>
        <v>1.3923717469311076E-3</v>
      </c>
      <c r="F5" s="446" t="s">
        <v>211</v>
      </c>
      <c r="G5" s="433">
        <f>SUM(G6:G11)</f>
        <v>0.34245147409583465</v>
      </c>
      <c r="H5" s="433">
        <f>SUM(H6:H11)</f>
        <v>6.848324088017102E-2</v>
      </c>
      <c r="I5" s="448" t="s">
        <v>211</v>
      </c>
      <c r="J5" s="448" t="s">
        <v>211</v>
      </c>
      <c r="K5" s="448" t="s">
        <v>211</v>
      </c>
      <c r="L5" s="448" t="s">
        <v>211</v>
      </c>
      <c r="M5" s="433">
        <f>SUM(M6:M11)</f>
        <v>1.8580478769615029E-2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1.7640308944218377E-5</v>
      </c>
      <c r="C6" s="887"/>
      <c r="D6" s="887">
        <f>vkm_2011_GW_PW*SUMIFS(TableVerdeelsleutelVkm[CNG],TableVerdeelsleutelVkm[Voertuigtype],"Lichte voertuigen")*SUMIFS(TableECFTransport[EnergieConsumptieFactor (PJ per km)],TableECFTransport[Index],CONCATENATE($A6,"_CNG_CNG"))</f>
        <v>2.4982127567475554E-5</v>
      </c>
      <c r="E6" s="887">
        <f>vkm_2011_GW_PW*SUMIFS(TableVerdeelsleutelVkm[LPG],TableVerdeelsleutelVkm[Voertuigtype],"Lichte voertuigen")*SUMIFS(TableECFTransport[EnergieConsumptieFactor (PJ per km)],TableECFTransport[Index],CONCATENATE($A6,"_LPG_LPG"))</f>
        <v>7.8460638355921399E-4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0.14101525124837036</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3.7786171265676349E-2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8.0895476741875139E-3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7.6870525531303385E-2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2.7311300822791122E-5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3.4689235387943443E-3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8.3273736043040946E-6</v>
      </c>
      <c r="C8" s="887"/>
      <c r="D8" s="436">
        <f>vkm_2011_NGW_PW*SUMIFS(TableVerdeelsleutelVkm[CNG],TableVerdeelsleutelVkm[Voertuigtype],"Lichte voertuigen")*SUMIFS(TableECFTransport[EnergieConsumptieFactor (PJ per km)],TableECFTransport[Index],CONCATENATE($A8,"_CNG_CNG"))</f>
        <v>2.100976853146639E-5</v>
      </c>
      <c r="E8" s="436">
        <f>vkm_2011_NGW_PW*SUMIFS(TableVerdeelsleutelVkm[LPG],TableVerdeelsleutelVkm[Voertuigtype],"Lichte voertuigen")*SUMIFS(TableECFTransport[EnergieConsumptieFactor (PJ per km)],TableECFTransport[Index],CONCATENATE($A8,"_LPG_LPG"))</f>
        <v>6.0776536337189347E-4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0.10302212259019627</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3.0662515204939074E-2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6.0498330128907945E-3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2.1543574725964611E-2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7.2431087328008028E-6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9.7217454374237547E-4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7.2132451523673531</v>
      </c>
      <c r="C14" s="21"/>
      <c r="D14" s="21">
        <f t="shared" ref="D14:M14" si="0">((D5)*10^9/3600)+D12</f>
        <v>12.775526694150539</v>
      </c>
      <c r="E14" s="21">
        <f t="shared" si="0"/>
        <v>386.76992970308544</v>
      </c>
      <c r="F14" s="21"/>
      <c r="G14" s="21">
        <f t="shared" si="0"/>
        <v>95125.409471065184</v>
      </c>
      <c r="H14" s="21">
        <f t="shared" si="0"/>
        <v>19023.122466714172</v>
      </c>
      <c r="I14" s="21"/>
      <c r="J14" s="21"/>
      <c r="K14" s="21"/>
      <c r="L14" s="21"/>
      <c r="M14" s="21">
        <f t="shared" si="0"/>
        <v>5161.2441026708411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0.20971596607133716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1.512732675638109</v>
      </c>
      <c r="C18" s="23"/>
      <c r="D18" s="23">
        <f t="shared" ref="D18:M18" si="1">D14*D16</f>
        <v>2.5806563922184091</v>
      </c>
      <c r="E18" s="23">
        <f t="shared" si="1"/>
        <v>87.796774042600404</v>
      </c>
      <c r="F18" s="23"/>
      <c r="G18" s="23">
        <f t="shared" si="1"/>
        <v>25398.484328774404</v>
      </c>
      <c r="H18" s="23">
        <f t="shared" si="1"/>
        <v>4736.757494211829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7.9153529925583103E-3</v>
      </c>
      <c r="H50" s="323">
        <f t="shared" si="2"/>
        <v>0</v>
      </c>
      <c r="I50" s="323">
        <f t="shared" si="2"/>
        <v>0</v>
      </c>
      <c r="J50" s="323">
        <f t="shared" si="2"/>
        <v>0</v>
      </c>
      <c r="K50" s="323">
        <f t="shared" si="2"/>
        <v>0</v>
      </c>
      <c r="L50" s="323">
        <f t="shared" si="2"/>
        <v>0</v>
      </c>
      <c r="M50" s="323">
        <f t="shared" si="2"/>
        <v>3.5201510787059327E-4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7.9153529925583103E-3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3.5201510787059327E-4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2198.7091645995306</v>
      </c>
      <c r="H54" s="21">
        <f t="shared" si="3"/>
        <v>0</v>
      </c>
      <c r="I54" s="21">
        <f t="shared" si="3"/>
        <v>0</v>
      </c>
      <c r="J54" s="21">
        <f t="shared" si="3"/>
        <v>0</v>
      </c>
      <c r="K54" s="21">
        <f t="shared" si="3"/>
        <v>0</v>
      </c>
      <c r="L54" s="21">
        <f t="shared" si="3"/>
        <v>0</v>
      </c>
      <c r="M54" s="21">
        <f t="shared" si="3"/>
        <v>97.781974408498129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0.20971596607133716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587.05534694807466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38530.280724469943</v>
      </c>
      <c r="D10" s="690">
        <f ca="1">tertiair!C16</f>
        <v>1928.5714285714287</v>
      </c>
      <c r="E10" s="690">
        <f ca="1">tertiair!D16</f>
        <v>39535.313208872438</v>
      </c>
      <c r="F10" s="690">
        <f>tertiair!E16</f>
        <v>419.41396729030248</v>
      </c>
      <c r="G10" s="690">
        <f ca="1">tertiair!F16</f>
        <v>6702.6448090531276</v>
      </c>
      <c r="H10" s="690">
        <f>tertiair!G16</f>
        <v>0</v>
      </c>
      <c r="I10" s="690">
        <f>tertiair!H16</f>
        <v>0</v>
      </c>
      <c r="J10" s="690">
        <f>tertiair!I16</f>
        <v>0</v>
      </c>
      <c r="K10" s="690">
        <f>tertiair!J16</f>
        <v>0</v>
      </c>
      <c r="L10" s="690">
        <f>tertiair!K16</f>
        <v>0</v>
      </c>
      <c r="M10" s="690">
        <f ca="1">tertiair!L16</f>
        <v>0</v>
      </c>
      <c r="N10" s="690">
        <f>tertiair!M16</f>
        <v>0</v>
      </c>
      <c r="O10" s="690">
        <f ca="1">tertiair!N16</f>
        <v>1662.5480864678793</v>
      </c>
      <c r="P10" s="690">
        <f>tertiair!O16</f>
        <v>0</v>
      </c>
      <c r="Q10" s="691">
        <f>tertiair!P16</f>
        <v>38.133333333333333</v>
      </c>
      <c r="R10" s="693">
        <f ca="1">SUM(C10:Q10)</f>
        <v>88816.905558058454</v>
      </c>
      <c r="S10" s="67"/>
    </row>
    <row r="11" spans="1:19" s="458" customFormat="1">
      <c r="A11" s="805" t="s">
        <v>225</v>
      </c>
      <c r="B11" s="810"/>
      <c r="C11" s="690">
        <f>huishoudens!B8</f>
        <v>53077.413752502733</v>
      </c>
      <c r="D11" s="690">
        <f>huishoudens!C8</f>
        <v>0</v>
      </c>
      <c r="E11" s="690">
        <f>huishoudens!D8</f>
        <v>82680.76140965338</v>
      </c>
      <c r="F11" s="690">
        <f>huishoudens!E8</f>
        <v>7605.830299367527</v>
      </c>
      <c r="G11" s="690">
        <f>huishoudens!F8</f>
        <v>63649.603916835338</v>
      </c>
      <c r="H11" s="690">
        <f>huishoudens!G8</f>
        <v>0</v>
      </c>
      <c r="I11" s="690">
        <f>huishoudens!H8</f>
        <v>0</v>
      </c>
      <c r="J11" s="690">
        <f>huishoudens!I8</f>
        <v>0</v>
      </c>
      <c r="K11" s="690">
        <f>huishoudens!J8</f>
        <v>9881.9188079490232</v>
      </c>
      <c r="L11" s="690">
        <f>huishoudens!K8</f>
        <v>0</v>
      </c>
      <c r="M11" s="690">
        <f>huishoudens!L8</f>
        <v>0</v>
      </c>
      <c r="N11" s="690">
        <f>huishoudens!M8</f>
        <v>0</v>
      </c>
      <c r="O11" s="690">
        <f>huishoudens!N8</f>
        <v>20807.298538222967</v>
      </c>
      <c r="P11" s="690">
        <f>huishoudens!O8</f>
        <v>267.33000000000004</v>
      </c>
      <c r="Q11" s="691">
        <f>huishoudens!P8</f>
        <v>972.4</v>
      </c>
      <c r="R11" s="693">
        <f>SUM(C11:Q11)</f>
        <v>238942.55672453094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30961.251790170438</v>
      </c>
      <c r="D13" s="690">
        <f>industrie!C18</f>
        <v>0</v>
      </c>
      <c r="E13" s="690">
        <f>industrie!D18</f>
        <v>9088.0015809368961</v>
      </c>
      <c r="F13" s="690">
        <f>industrie!E18</f>
        <v>5585.3891313508157</v>
      </c>
      <c r="G13" s="690">
        <f>industrie!F18</f>
        <v>20212.884874936648</v>
      </c>
      <c r="H13" s="690">
        <f>industrie!G18</f>
        <v>0</v>
      </c>
      <c r="I13" s="690">
        <f>industrie!H18</f>
        <v>0</v>
      </c>
      <c r="J13" s="690">
        <f>industrie!I18</f>
        <v>0</v>
      </c>
      <c r="K13" s="690">
        <f>industrie!J18</f>
        <v>23.361652478300467</v>
      </c>
      <c r="L13" s="690">
        <f>industrie!K18</f>
        <v>0</v>
      </c>
      <c r="M13" s="690">
        <f>industrie!L18</f>
        <v>0</v>
      </c>
      <c r="N13" s="690">
        <f>industrie!M18</f>
        <v>0</v>
      </c>
      <c r="O13" s="690">
        <f>industrie!N18</f>
        <v>8669.6493598378183</v>
      </c>
      <c r="P13" s="690">
        <f>industrie!O18</f>
        <v>0</v>
      </c>
      <c r="Q13" s="691">
        <f>industrie!P18</f>
        <v>0</v>
      </c>
      <c r="R13" s="693">
        <f>SUM(C13:Q13)</f>
        <v>74540.538389710913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122568.94626714312</v>
      </c>
      <c r="D16" s="725">
        <f t="shared" ref="D16:R16" ca="1" si="0">SUM(D9:D15)</f>
        <v>1928.5714285714287</v>
      </c>
      <c r="E16" s="725">
        <f t="shared" ca="1" si="0"/>
        <v>131304.07619946272</v>
      </c>
      <c r="F16" s="725">
        <f t="shared" si="0"/>
        <v>13610.633398008646</v>
      </c>
      <c r="G16" s="725">
        <f t="shared" ca="1" si="0"/>
        <v>90565.133600825109</v>
      </c>
      <c r="H16" s="725">
        <f t="shared" si="0"/>
        <v>0</v>
      </c>
      <c r="I16" s="725">
        <f t="shared" si="0"/>
        <v>0</v>
      </c>
      <c r="J16" s="725">
        <f t="shared" si="0"/>
        <v>0</v>
      </c>
      <c r="K16" s="725">
        <f t="shared" si="0"/>
        <v>9905.2804604273242</v>
      </c>
      <c r="L16" s="725">
        <f t="shared" si="0"/>
        <v>0</v>
      </c>
      <c r="M16" s="725">
        <f t="shared" ca="1" si="0"/>
        <v>0</v>
      </c>
      <c r="N16" s="725">
        <f t="shared" si="0"/>
        <v>0</v>
      </c>
      <c r="O16" s="725">
        <f t="shared" ca="1" si="0"/>
        <v>31139.495984528665</v>
      </c>
      <c r="P16" s="725">
        <f t="shared" si="0"/>
        <v>267.33000000000004</v>
      </c>
      <c r="Q16" s="725">
        <f t="shared" si="0"/>
        <v>1010.5333333333333</v>
      </c>
      <c r="R16" s="725">
        <f t="shared" ca="1" si="0"/>
        <v>402300.00067230035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2198.7091645995306</v>
      </c>
      <c r="I19" s="690">
        <f>transport!H54</f>
        <v>0</v>
      </c>
      <c r="J19" s="690">
        <f>transport!I54</f>
        <v>0</v>
      </c>
      <c r="K19" s="690">
        <f>transport!J54</f>
        <v>0</v>
      </c>
      <c r="L19" s="690">
        <f>transport!K54</f>
        <v>0</v>
      </c>
      <c r="M19" s="690">
        <f>transport!L54</f>
        <v>0</v>
      </c>
      <c r="N19" s="690">
        <f>transport!M54</f>
        <v>97.781974408498129</v>
      </c>
      <c r="O19" s="690">
        <f>transport!N54</f>
        <v>0</v>
      </c>
      <c r="P19" s="690">
        <f>transport!O54</f>
        <v>0</v>
      </c>
      <c r="Q19" s="691">
        <f>transport!P54</f>
        <v>0</v>
      </c>
      <c r="R19" s="693">
        <f>SUM(C19:Q19)</f>
        <v>2296.4911390080288</v>
      </c>
      <c r="S19" s="67"/>
    </row>
    <row r="20" spans="1:19" s="458" customFormat="1">
      <c r="A20" s="805" t="s">
        <v>307</v>
      </c>
      <c r="B20" s="810"/>
      <c r="C20" s="690">
        <f>transport!B14</f>
        <v>7.2132451523673531</v>
      </c>
      <c r="D20" s="690">
        <f>transport!C14</f>
        <v>0</v>
      </c>
      <c r="E20" s="690">
        <f>transport!D14</f>
        <v>12.775526694150539</v>
      </c>
      <c r="F20" s="690">
        <f>transport!E14</f>
        <v>386.76992970308544</v>
      </c>
      <c r="G20" s="690">
        <f>transport!F14</f>
        <v>0</v>
      </c>
      <c r="H20" s="690">
        <f>transport!G14</f>
        <v>95125.409471065184</v>
      </c>
      <c r="I20" s="690">
        <f>transport!H14</f>
        <v>19023.122466714172</v>
      </c>
      <c r="J20" s="690">
        <f>transport!I14</f>
        <v>0</v>
      </c>
      <c r="K20" s="690">
        <f>transport!J14</f>
        <v>0</v>
      </c>
      <c r="L20" s="690">
        <f>transport!K14</f>
        <v>0</v>
      </c>
      <c r="M20" s="690">
        <f>transport!L14</f>
        <v>0</v>
      </c>
      <c r="N20" s="690">
        <f>transport!M14</f>
        <v>5161.2441026708411</v>
      </c>
      <c r="O20" s="690">
        <f>transport!N14</f>
        <v>0</v>
      </c>
      <c r="P20" s="690">
        <f>transport!O14</f>
        <v>0</v>
      </c>
      <c r="Q20" s="691">
        <f>transport!P14</f>
        <v>0</v>
      </c>
      <c r="R20" s="693">
        <f>SUM(C20:Q20)</f>
        <v>119716.53474199981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7.2132451523673531</v>
      </c>
      <c r="D22" s="808">
        <f t="shared" ref="D22:R22" si="1">SUM(D18:D21)</f>
        <v>0</v>
      </c>
      <c r="E22" s="808">
        <f t="shared" si="1"/>
        <v>12.775526694150539</v>
      </c>
      <c r="F22" s="808">
        <f t="shared" si="1"/>
        <v>386.76992970308544</v>
      </c>
      <c r="G22" s="808">
        <f t="shared" si="1"/>
        <v>0</v>
      </c>
      <c r="H22" s="808">
        <f t="shared" si="1"/>
        <v>97324.118635664709</v>
      </c>
      <c r="I22" s="808">
        <f t="shared" si="1"/>
        <v>19023.122466714172</v>
      </c>
      <c r="J22" s="808">
        <f t="shared" si="1"/>
        <v>0</v>
      </c>
      <c r="K22" s="808">
        <f t="shared" si="1"/>
        <v>0</v>
      </c>
      <c r="L22" s="808">
        <f t="shared" si="1"/>
        <v>0</v>
      </c>
      <c r="M22" s="808">
        <f t="shared" si="1"/>
        <v>0</v>
      </c>
      <c r="N22" s="808">
        <f t="shared" si="1"/>
        <v>5259.0260770793393</v>
      </c>
      <c r="O22" s="808">
        <f t="shared" si="1"/>
        <v>0</v>
      </c>
      <c r="P22" s="808">
        <f t="shared" si="1"/>
        <v>0</v>
      </c>
      <c r="Q22" s="808">
        <f t="shared" si="1"/>
        <v>0</v>
      </c>
      <c r="R22" s="808">
        <f t="shared" si="1"/>
        <v>122013.02588100784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1055.6611927380741</v>
      </c>
      <c r="D24" s="690">
        <f>+landbouw!C8</f>
        <v>0</v>
      </c>
      <c r="E24" s="690">
        <f>+landbouw!D8</f>
        <v>156.88708561524078</v>
      </c>
      <c r="F24" s="690">
        <f>+landbouw!E8</f>
        <v>13.302690996625481</v>
      </c>
      <c r="G24" s="690">
        <f>+landbouw!F8</f>
        <v>3642.2955738772057</v>
      </c>
      <c r="H24" s="690">
        <f>+landbouw!G8</f>
        <v>0</v>
      </c>
      <c r="I24" s="690">
        <f>+landbouw!H8</f>
        <v>0</v>
      </c>
      <c r="J24" s="690">
        <f>+landbouw!I8</f>
        <v>0</v>
      </c>
      <c r="K24" s="690">
        <f>+landbouw!J8</f>
        <v>158.75944305489847</v>
      </c>
      <c r="L24" s="690">
        <f>+landbouw!K8</f>
        <v>0</v>
      </c>
      <c r="M24" s="690">
        <f>+landbouw!L8</f>
        <v>0</v>
      </c>
      <c r="N24" s="690">
        <f>+landbouw!M8</f>
        <v>0</v>
      </c>
      <c r="O24" s="690">
        <f>+landbouw!N8</f>
        <v>0</v>
      </c>
      <c r="P24" s="690">
        <f>+landbouw!O8</f>
        <v>0</v>
      </c>
      <c r="Q24" s="691">
        <f>+landbouw!P8</f>
        <v>0</v>
      </c>
      <c r="R24" s="693">
        <f>SUM(C24:Q24)</f>
        <v>5026.905986282045</v>
      </c>
      <c r="S24" s="67"/>
    </row>
    <row r="25" spans="1:19" s="458" customFormat="1" ht="15" thickBot="1">
      <c r="A25" s="827" t="s">
        <v>872</v>
      </c>
      <c r="B25" s="1004"/>
      <c r="C25" s="1005">
        <f>IF(Onbekend_ele_kWh="---",0,Onbekend_ele_kWh)/1000+IF(REST_rest_ele_kWh="---",0,REST_rest_ele_kWh)/1000</f>
        <v>1911.7660088310499</v>
      </c>
      <c r="D25" s="1005"/>
      <c r="E25" s="1005">
        <f>IF(onbekend_gas_kWh="---",0,onbekend_gas_kWh)/1000+IF(REST_rest_gas_kWh="---",0,REST_rest_gas_kWh)/1000</f>
        <v>6056.95351554847</v>
      </c>
      <c r="F25" s="1005"/>
      <c r="G25" s="1005"/>
      <c r="H25" s="1005"/>
      <c r="I25" s="1005"/>
      <c r="J25" s="1005"/>
      <c r="K25" s="1005"/>
      <c r="L25" s="1005"/>
      <c r="M25" s="1005"/>
      <c r="N25" s="1005"/>
      <c r="O25" s="1005"/>
      <c r="P25" s="1005"/>
      <c r="Q25" s="1006"/>
      <c r="R25" s="693">
        <f>SUM(C25:Q25)</f>
        <v>7968.7195243795195</v>
      </c>
      <c r="S25" s="67"/>
    </row>
    <row r="26" spans="1:19" s="458" customFormat="1" ht="15.75" thickBot="1">
      <c r="A26" s="698" t="s">
        <v>873</v>
      </c>
      <c r="B26" s="813"/>
      <c r="C26" s="808">
        <f>SUM(C24:C25)</f>
        <v>2967.427201569124</v>
      </c>
      <c r="D26" s="808">
        <f t="shared" ref="D26:R26" si="2">SUM(D24:D25)</f>
        <v>0</v>
      </c>
      <c r="E26" s="808">
        <f t="shared" si="2"/>
        <v>6213.8406011637107</v>
      </c>
      <c r="F26" s="808">
        <f t="shared" si="2"/>
        <v>13.302690996625481</v>
      </c>
      <c r="G26" s="808">
        <f t="shared" si="2"/>
        <v>3642.2955738772057</v>
      </c>
      <c r="H26" s="808">
        <f t="shared" si="2"/>
        <v>0</v>
      </c>
      <c r="I26" s="808">
        <f t="shared" si="2"/>
        <v>0</v>
      </c>
      <c r="J26" s="808">
        <f t="shared" si="2"/>
        <v>0</v>
      </c>
      <c r="K26" s="808">
        <f t="shared" si="2"/>
        <v>158.75944305489847</v>
      </c>
      <c r="L26" s="808">
        <f t="shared" si="2"/>
        <v>0</v>
      </c>
      <c r="M26" s="808">
        <f t="shared" si="2"/>
        <v>0</v>
      </c>
      <c r="N26" s="808">
        <f t="shared" si="2"/>
        <v>0</v>
      </c>
      <c r="O26" s="808">
        <f t="shared" si="2"/>
        <v>0</v>
      </c>
      <c r="P26" s="808">
        <f t="shared" si="2"/>
        <v>0</v>
      </c>
      <c r="Q26" s="808">
        <f t="shared" si="2"/>
        <v>0</v>
      </c>
      <c r="R26" s="808">
        <f t="shared" si="2"/>
        <v>12995.625510661564</v>
      </c>
      <c r="S26" s="67"/>
    </row>
    <row r="27" spans="1:19" s="458" customFormat="1" ht="17.25" thickTop="1" thickBot="1">
      <c r="A27" s="699" t="s">
        <v>116</v>
      </c>
      <c r="B27" s="800"/>
      <c r="C27" s="700">
        <f ca="1">C22+C16+C26</f>
        <v>125543.58671386461</v>
      </c>
      <c r="D27" s="700">
        <f t="shared" ref="D27:R27" ca="1" si="3">D22+D16+D26</f>
        <v>1928.5714285714287</v>
      </c>
      <c r="E27" s="700">
        <f t="shared" ca="1" si="3"/>
        <v>137530.69232732058</v>
      </c>
      <c r="F27" s="700">
        <f t="shared" si="3"/>
        <v>14010.706018708355</v>
      </c>
      <c r="G27" s="700">
        <f t="shared" ca="1" si="3"/>
        <v>94207.429174702309</v>
      </c>
      <c r="H27" s="700">
        <f t="shared" si="3"/>
        <v>97324.118635664709</v>
      </c>
      <c r="I27" s="700">
        <f t="shared" si="3"/>
        <v>19023.122466714172</v>
      </c>
      <c r="J27" s="700">
        <f t="shared" si="3"/>
        <v>0</v>
      </c>
      <c r="K27" s="700">
        <f t="shared" si="3"/>
        <v>10064.039903482222</v>
      </c>
      <c r="L27" s="700">
        <f t="shared" si="3"/>
        <v>0</v>
      </c>
      <c r="M27" s="700">
        <f t="shared" ca="1" si="3"/>
        <v>0</v>
      </c>
      <c r="N27" s="700">
        <f t="shared" si="3"/>
        <v>5259.0260770793393</v>
      </c>
      <c r="O27" s="700">
        <f t="shared" ca="1" si="3"/>
        <v>31139.495984528665</v>
      </c>
      <c r="P27" s="700">
        <f t="shared" si="3"/>
        <v>267.33000000000004</v>
      </c>
      <c r="Q27" s="700">
        <f t="shared" si="3"/>
        <v>1010.5333333333333</v>
      </c>
      <c r="R27" s="700">
        <f t="shared" ca="1" si="3"/>
        <v>537308.65206396964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8080.4150451320356</v>
      </c>
      <c r="D40" s="690">
        <f ca="1">tertiair!C20</f>
        <v>458.31932773109253</v>
      </c>
      <c r="E40" s="690">
        <f ca="1">tertiair!D20</f>
        <v>7986.1332681922331</v>
      </c>
      <c r="F40" s="690">
        <f>tertiair!E20</f>
        <v>95.206970574898662</v>
      </c>
      <c r="G40" s="690">
        <f ca="1">tertiair!F20</f>
        <v>1789.6061640171852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18409.680775647445</v>
      </c>
    </row>
    <row r="41" spans="1:18">
      <c r="A41" s="818" t="s">
        <v>225</v>
      </c>
      <c r="B41" s="825"/>
      <c r="C41" s="690">
        <f ca="1">huishoudens!B12</f>
        <v>11131.181101674187</v>
      </c>
      <c r="D41" s="690">
        <f ca="1">huishoudens!C12</f>
        <v>0</v>
      </c>
      <c r="E41" s="690">
        <f>huishoudens!D12</f>
        <v>16701.513804749982</v>
      </c>
      <c r="F41" s="690">
        <f>huishoudens!E12</f>
        <v>1726.5234779564287</v>
      </c>
      <c r="G41" s="690">
        <f>huishoudens!F12</f>
        <v>16994.444245795035</v>
      </c>
      <c r="H41" s="690">
        <f>huishoudens!G12</f>
        <v>0</v>
      </c>
      <c r="I41" s="690">
        <f>huishoudens!H12</f>
        <v>0</v>
      </c>
      <c r="J41" s="690">
        <f>huishoudens!I12</f>
        <v>0</v>
      </c>
      <c r="K41" s="690">
        <f>huishoudens!J12</f>
        <v>3498.199258013954</v>
      </c>
      <c r="L41" s="690">
        <f>huishoudens!K12</f>
        <v>0</v>
      </c>
      <c r="M41" s="690">
        <f>huishoudens!L12</f>
        <v>0</v>
      </c>
      <c r="N41" s="690">
        <f>huishoudens!M12</f>
        <v>0</v>
      </c>
      <c r="O41" s="690">
        <f>huishoudens!N12</f>
        <v>0</v>
      </c>
      <c r="P41" s="690">
        <f>huishoudens!O12</f>
        <v>0</v>
      </c>
      <c r="Q41" s="767">
        <f>huishoudens!P12</f>
        <v>0</v>
      </c>
      <c r="R41" s="846">
        <f t="shared" ca="1" si="4"/>
        <v>50051.861888189589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6493.0688299535104</v>
      </c>
      <c r="D43" s="690">
        <f ca="1">industrie!C22</f>
        <v>0</v>
      </c>
      <c r="E43" s="690">
        <f>industrie!D22</f>
        <v>1835.7763193492531</v>
      </c>
      <c r="F43" s="690">
        <f>industrie!E22</f>
        <v>1267.8833328166352</v>
      </c>
      <c r="G43" s="690">
        <f>industrie!F22</f>
        <v>5396.8402616080857</v>
      </c>
      <c r="H43" s="690">
        <f>industrie!G22</f>
        <v>0</v>
      </c>
      <c r="I43" s="690">
        <f>industrie!H22</f>
        <v>0</v>
      </c>
      <c r="J43" s="690">
        <f>industrie!I22</f>
        <v>0</v>
      </c>
      <c r="K43" s="690">
        <f>industrie!J22</f>
        <v>8.2700249773183643</v>
      </c>
      <c r="L43" s="690">
        <f>industrie!K22</f>
        <v>0</v>
      </c>
      <c r="M43" s="690">
        <f>industrie!L22</f>
        <v>0</v>
      </c>
      <c r="N43" s="690">
        <f>industrie!M22</f>
        <v>0</v>
      </c>
      <c r="O43" s="690">
        <f>industrie!N22</f>
        <v>0</v>
      </c>
      <c r="P43" s="690">
        <f>industrie!O22</f>
        <v>0</v>
      </c>
      <c r="Q43" s="767">
        <f>industrie!P22</f>
        <v>0</v>
      </c>
      <c r="R43" s="845">
        <f t="shared" ca="1" si="4"/>
        <v>15001.838768704803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25704.664976759734</v>
      </c>
      <c r="D46" s="725">
        <f t="shared" ref="D46:Q46" ca="1" si="5">SUM(D39:D45)</f>
        <v>458.31932773109253</v>
      </c>
      <c r="E46" s="725">
        <f t="shared" ca="1" si="5"/>
        <v>26523.423392291468</v>
      </c>
      <c r="F46" s="725">
        <f t="shared" si="5"/>
        <v>3089.6137813479627</v>
      </c>
      <c r="G46" s="725">
        <f t="shared" ca="1" si="5"/>
        <v>24180.890671420308</v>
      </c>
      <c r="H46" s="725">
        <f t="shared" si="5"/>
        <v>0</v>
      </c>
      <c r="I46" s="725">
        <f t="shared" si="5"/>
        <v>0</v>
      </c>
      <c r="J46" s="725">
        <f t="shared" si="5"/>
        <v>0</v>
      </c>
      <c r="K46" s="725">
        <f t="shared" si="5"/>
        <v>3506.4692829912724</v>
      </c>
      <c r="L46" s="725">
        <f t="shared" si="5"/>
        <v>0</v>
      </c>
      <c r="M46" s="725">
        <f t="shared" ca="1" si="5"/>
        <v>0</v>
      </c>
      <c r="N46" s="725">
        <f t="shared" si="5"/>
        <v>0</v>
      </c>
      <c r="O46" s="725">
        <f t="shared" ca="1" si="5"/>
        <v>0</v>
      </c>
      <c r="P46" s="725">
        <f t="shared" si="5"/>
        <v>0</v>
      </c>
      <c r="Q46" s="725">
        <f t="shared" si="5"/>
        <v>0</v>
      </c>
      <c r="R46" s="725">
        <f ca="1">SUM(R39:R45)</f>
        <v>83463.381432541835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587.05534694807466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587.05534694807466</v>
      </c>
    </row>
    <row r="50" spans="1:18">
      <c r="A50" s="821" t="s">
        <v>307</v>
      </c>
      <c r="B50" s="831"/>
      <c r="C50" s="696">
        <f ca="1">transport!B18</f>
        <v>1.512732675638109</v>
      </c>
      <c r="D50" s="696">
        <f>transport!C18</f>
        <v>0</v>
      </c>
      <c r="E50" s="696">
        <f>transport!D18</f>
        <v>2.5806563922184091</v>
      </c>
      <c r="F50" s="696">
        <f>transport!E18</f>
        <v>87.796774042600404</v>
      </c>
      <c r="G50" s="696">
        <f>transport!F18</f>
        <v>0</v>
      </c>
      <c r="H50" s="696">
        <f>transport!G18</f>
        <v>25398.484328774404</v>
      </c>
      <c r="I50" s="696">
        <f>transport!H18</f>
        <v>4736.757494211829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30227.131986096691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1.512732675638109</v>
      </c>
      <c r="D52" s="725">
        <f t="shared" ref="D52:Q52" ca="1" si="6">SUM(D48:D51)</f>
        <v>0</v>
      </c>
      <c r="E52" s="725">
        <f t="shared" si="6"/>
        <v>2.5806563922184091</v>
      </c>
      <c r="F52" s="725">
        <f t="shared" si="6"/>
        <v>87.796774042600404</v>
      </c>
      <c r="G52" s="725">
        <f t="shared" si="6"/>
        <v>0</v>
      </c>
      <c r="H52" s="725">
        <f t="shared" si="6"/>
        <v>25985.539675722481</v>
      </c>
      <c r="I52" s="725">
        <f t="shared" si="6"/>
        <v>4736.757494211829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30814.187333044763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221.38900687908526</v>
      </c>
      <c r="D54" s="696">
        <f ca="1">+landbouw!C12</f>
        <v>0</v>
      </c>
      <c r="E54" s="696">
        <f>+landbouw!D12</f>
        <v>31.691191294278639</v>
      </c>
      <c r="F54" s="696">
        <f>+landbouw!E12</f>
        <v>3.0197108562339841</v>
      </c>
      <c r="G54" s="696">
        <f>+landbouw!F12</f>
        <v>972.492918225214</v>
      </c>
      <c r="H54" s="696">
        <f>+landbouw!G12</f>
        <v>0</v>
      </c>
      <c r="I54" s="696">
        <f>+landbouw!H12</f>
        <v>0</v>
      </c>
      <c r="J54" s="696">
        <f>+landbouw!I12</f>
        <v>0</v>
      </c>
      <c r="K54" s="696">
        <f>+landbouw!J12</f>
        <v>56.200842841434053</v>
      </c>
      <c r="L54" s="696">
        <f>+landbouw!K12</f>
        <v>0</v>
      </c>
      <c r="M54" s="696">
        <f>+landbouw!L12</f>
        <v>0</v>
      </c>
      <c r="N54" s="696">
        <f>+landbouw!M12</f>
        <v>0</v>
      </c>
      <c r="O54" s="696">
        <f>+landbouw!N12</f>
        <v>0</v>
      </c>
      <c r="P54" s="696">
        <f>+landbouw!O12</f>
        <v>0</v>
      </c>
      <c r="Q54" s="697">
        <f>+landbouw!P12</f>
        <v>0</v>
      </c>
      <c r="R54" s="724">
        <f ca="1">SUM(C54:Q54)</f>
        <v>1284.7936700962459</v>
      </c>
    </row>
    <row r="55" spans="1:18" ht="15" thickBot="1">
      <c r="A55" s="821" t="s">
        <v>872</v>
      </c>
      <c r="B55" s="831"/>
      <c r="C55" s="696">
        <f ca="1">C25*'EF ele_warmte'!B12</f>
        <v>400.92785544434815</v>
      </c>
      <c r="D55" s="696"/>
      <c r="E55" s="696">
        <f>E25*EF_CO2_aardgas</f>
        <v>1223.5046101407911</v>
      </c>
      <c r="F55" s="696"/>
      <c r="G55" s="696"/>
      <c r="H55" s="696"/>
      <c r="I55" s="696"/>
      <c r="J55" s="696"/>
      <c r="K55" s="696"/>
      <c r="L55" s="696"/>
      <c r="M55" s="696"/>
      <c r="N55" s="696"/>
      <c r="O55" s="696"/>
      <c r="P55" s="696"/>
      <c r="Q55" s="697"/>
      <c r="R55" s="724">
        <f ca="1">SUM(C55:Q55)</f>
        <v>1624.4324655851392</v>
      </c>
    </row>
    <row r="56" spans="1:18" ht="15.75" thickBot="1">
      <c r="A56" s="819" t="s">
        <v>873</v>
      </c>
      <c r="B56" s="832"/>
      <c r="C56" s="725">
        <f ca="1">SUM(C54:C55)</f>
        <v>622.31686232343338</v>
      </c>
      <c r="D56" s="725">
        <f t="shared" ref="D56:Q56" ca="1" si="7">SUM(D54:D55)</f>
        <v>0</v>
      </c>
      <c r="E56" s="725">
        <f t="shared" si="7"/>
        <v>1255.1958014350698</v>
      </c>
      <c r="F56" s="725">
        <f t="shared" si="7"/>
        <v>3.0197108562339841</v>
      </c>
      <c r="G56" s="725">
        <f t="shared" si="7"/>
        <v>972.492918225214</v>
      </c>
      <c r="H56" s="725">
        <f t="shared" si="7"/>
        <v>0</v>
      </c>
      <c r="I56" s="725">
        <f t="shared" si="7"/>
        <v>0</v>
      </c>
      <c r="J56" s="725">
        <f t="shared" si="7"/>
        <v>0</v>
      </c>
      <c r="K56" s="725">
        <f t="shared" si="7"/>
        <v>56.200842841434053</v>
      </c>
      <c r="L56" s="725">
        <f t="shared" si="7"/>
        <v>0</v>
      </c>
      <c r="M56" s="725">
        <f t="shared" si="7"/>
        <v>0</v>
      </c>
      <c r="N56" s="725">
        <f t="shared" si="7"/>
        <v>0</v>
      </c>
      <c r="O56" s="725">
        <f t="shared" si="7"/>
        <v>0</v>
      </c>
      <c r="P56" s="725">
        <f t="shared" si="7"/>
        <v>0</v>
      </c>
      <c r="Q56" s="726">
        <f t="shared" si="7"/>
        <v>0</v>
      </c>
      <c r="R56" s="727">
        <f ca="1">SUM(R54:R55)</f>
        <v>2909.2261356813851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26328.494571758805</v>
      </c>
      <c r="D61" s="733">
        <f t="shared" ref="D61:Q61" ca="1" si="8">D46+D52+D56</f>
        <v>458.31932773109253</v>
      </c>
      <c r="E61" s="733">
        <f t="shared" ca="1" si="8"/>
        <v>27781.199850118759</v>
      </c>
      <c r="F61" s="733">
        <f t="shared" si="8"/>
        <v>3180.4302662467967</v>
      </c>
      <c r="G61" s="733">
        <f t="shared" ca="1" si="8"/>
        <v>25153.38358964552</v>
      </c>
      <c r="H61" s="733">
        <f t="shared" si="8"/>
        <v>25985.539675722481</v>
      </c>
      <c r="I61" s="733">
        <f t="shared" si="8"/>
        <v>4736.757494211829</v>
      </c>
      <c r="J61" s="733">
        <f t="shared" si="8"/>
        <v>0</v>
      </c>
      <c r="K61" s="733">
        <f t="shared" si="8"/>
        <v>3562.6701258327066</v>
      </c>
      <c r="L61" s="733">
        <f t="shared" si="8"/>
        <v>0</v>
      </c>
      <c r="M61" s="733">
        <f t="shared" ca="1" si="8"/>
        <v>0</v>
      </c>
      <c r="N61" s="733">
        <f t="shared" si="8"/>
        <v>0</v>
      </c>
      <c r="O61" s="733">
        <f t="shared" ca="1" si="8"/>
        <v>0</v>
      </c>
      <c r="P61" s="733">
        <f t="shared" si="8"/>
        <v>0</v>
      </c>
      <c r="Q61" s="733">
        <f t="shared" si="8"/>
        <v>0</v>
      </c>
      <c r="R61" s="733">
        <f ca="1">R46+R52+R56</f>
        <v>117186.79490126797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0.20971596607133716</v>
      </c>
      <c r="D63" s="776">
        <f t="shared" ca="1" si="9"/>
        <v>0.23764705882352943</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7.7452914798206276</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6504.0720000000001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1350</v>
      </c>
      <c r="D76" s="1021">
        <f>'lokale energieproductie'!C8</f>
        <v>1588.2352941176473</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320.82352941176475</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6511.8172914798206</v>
      </c>
      <c r="C78" s="748">
        <f>SUM(C72:C77)</f>
        <v>1350</v>
      </c>
      <c r="D78" s="749">
        <f t="shared" ref="D78:H78" si="10">SUM(D76:D77)</f>
        <v>1588.2352941176473</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320.82352941176475</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1928.5714285714287</v>
      </c>
      <c r="D87" s="770">
        <f>'lokale energieproductie'!C17</f>
        <v>2268.9075630252105</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458.31932773109253</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1928.5714285714287</v>
      </c>
      <c r="D90" s="748">
        <f t="shared" ref="D90:H90" si="12">SUM(D87:D89)</f>
        <v>2268.9075630252105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458.31932773109253</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7.7452914798206276</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6504.0720000000001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1350</v>
      </c>
      <c r="C8" s="560">
        <f>B101</f>
        <v>1588.2352941176473</v>
      </c>
      <c r="D8" s="1028"/>
      <c r="E8" s="1028">
        <f>E101</f>
        <v>0</v>
      </c>
      <c r="F8" s="1029"/>
      <c r="G8" s="561"/>
      <c r="H8" s="1028">
        <f>I101</f>
        <v>0</v>
      </c>
      <c r="I8" s="1028">
        <f>G101+F101</f>
        <v>0</v>
      </c>
      <c r="J8" s="1028">
        <f>H101+D101+C101</f>
        <v>0</v>
      </c>
      <c r="K8" s="1028"/>
      <c r="L8" s="1028"/>
      <c r="M8" s="1028"/>
      <c r="N8" s="562"/>
      <c r="O8" s="563">
        <f>C8*$C$12+D8*$D$12+E8*$E$12+F8*$F$12+G8*$G$12+H8*$H$12+I8*$I$12+J8*$J$12</f>
        <v>320.82352941176475</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7861.8172914798206</v>
      </c>
      <c r="C10" s="573">
        <f t="shared" ref="C10:L10" si="0">SUM(C8:C9)</f>
        <v>1588.2352941176473</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320.82352941176475</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1928.5714285714287</v>
      </c>
      <c r="C17" s="585">
        <f>B102</f>
        <v>2268.9075630252105</v>
      </c>
      <c r="D17" s="586"/>
      <c r="E17" s="586">
        <f>E102</f>
        <v>0</v>
      </c>
      <c r="F17" s="1034"/>
      <c r="G17" s="587"/>
      <c r="H17" s="585">
        <f>I102</f>
        <v>0</v>
      </c>
      <c r="I17" s="586">
        <f>G102+F102</f>
        <v>0</v>
      </c>
      <c r="J17" s="586">
        <f>H102+D102+C102</f>
        <v>0</v>
      </c>
      <c r="K17" s="586"/>
      <c r="L17" s="586"/>
      <c r="M17" s="586"/>
      <c r="N17" s="1035"/>
      <c r="O17" s="588">
        <f>C17*$C$22+E17*$E$22+H17*$H$22+I17*$I$22+J17*$J$22+D17*$D$22+F17*$F$22+G17*$G$22+K17*$K$22+L17*$L$22</f>
        <v>458.31932773109253</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1928.5714285714287</v>
      </c>
      <c r="C20" s="572">
        <f>SUM(C17:C19)</f>
        <v>2268.9075630252105</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458.31932773109253</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51">
      <c r="A28" s="596"/>
      <c r="B28" s="791">
        <v>41081</v>
      </c>
      <c r="C28" s="791">
        <v>9620</v>
      </c>
      <c r="D28" s="644" t="s">
        <v>913</v>
      </c>
      <c r="E28" s="643" t="s">
        <v>914</v>
      </c>
      <c r="F28" s="643" t="s">
        <v>915</v>
      </c>
      <c r="G28" s="643" t="s">
        <v>916</v>
      </c>
      <c r="H28" s="643" t="s">
        <v>917</v>
      </c>
      <c r="I28" s="643" t="s">
        <v>914</v>
      </c>
      <c r="J28" s="790">
        <v>38159</v>
      </c>
      <c r="K28" s="790">
        <v>38718</v>
      </c>
      <c r="L28" s="643" t="s">
        <v>918</v>
      </c>
      <c r="M28" s="643">
        <v>300</v>
      </c>
      <c r="N28" s="643">
        <v>1350</v>
      </c>
      <c r="O28" s="643">
        <v>1928.5714285714287</v>
      </c>
      <c r="P28" s="643">
        <v>3857.1428571428573</v>
      </c>
      <c r="Q28" s="643">
        <v>0</v>
      </c>
      <c r="R28" s="643">
        <v>0</v>
      </c>
      <c r="S28" s="643">
        <v>0</v>
      </c>
      <c r="T28" s="643">
        <v>0</v>
      </c>
      <c r="U28" s="643">
        <v>0</v>
      </c>
      <c r="V28" s="643">
        <v>0</v>
      </c>
      <c r="W28" s="643">
        <v>0</v>
      </c>
      <c r="X28" s="643">
        <v>1500</v>
      </c>
      <c r="Y28" s="643" t="s">
        <v>51</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300</v>
      </c>
      <c r="N58" s="601">
        <f>SUM(N28:N57)</f>
        <v>1350</v>
      </c>
      <c r="O58" s="601">
        <f t="shared" ref="O58:W58" si="2">SUM(O28:O57)</f>
        <v>1928.5714285714287</v>
      </c>
      <c r="P58" s="601">
        <f t="shared" si="2"/>
        <v>3857.1428571428573</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300</v>
      </c>
      <c r="N60" s="601">
        <f ca="1">SUMIF($Z$28:AD57,"tertiair",N28:N57)</f>
        <v>1350</v>
      </c>
      <c r="O60" s="601">
        <f ca="1">SUMIF($Z$28:AE57,"tertiair",O28:O57)</f>
        <v>1928.5714285714287</v>
      </c>
      <c r="P60" s="601">
        <f ca="1">SUMIF($Z$28:AF57,"tertiair",P28:P57)</f>
        <v>3857.1428571428573</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1588.2352941176473</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2268.9075630252105</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53077.413752502733</v>
      </c>
      <c r="C4" s="462">
        <f>huishoudens!C8</f>
        <v>0</v>
      </c>
      <c r="D4" s="462">
        <f>huishoudens!D8</f>
        <v>82680.76140965338</v>
      </c>
      <c r="E4" s="462">
        <f>huishoudens!E8</f>
        <v>7605.830299367527</v>
      </c>
      <c r="F4" s="462">
        <f>huishoudens!F8</f>
        <v>63649.603916835338</v>
      </c>
      <c r="G4" s="462">
        <f>huishoudens!G8</f>
        <v>0</v>
      </c>
      <c r="H4" s="462">
        <f>huishoudens!H8</f>
        <v>0</v>
      </c>
      <c r="I4" s="462">
        <f>huishoudens!I8</f>
        <v>0</v>
      </c>
      <c r="J4" s="462">
        <f>huishoudens!J8</f>
        <v>9881.9188079490232</v>
      </c>
      <c r="K4" s="462">
        <f>huishoudens!K8</f>
        <v>0</v>
      </c>
      <c r="L4" s="462">
        <f>huishoudens!L8</f>
        <v>0</v>
      </c>
      <c r="M4" s="462">
        <f>huishoudens!M8</f>
        <v>0</v>
      </c>
      <c r="N4" s="462">
        <f>huishoudens!N8</f>
        <v>20807.298538222967</v>
      </c>
      <c r="O4" s="462">
        <f>huishoudens!O8</f>
        <v>267.33000000000004</v>
      </c>
      <c r="P4" s="463">
        <f>huishoudens!P8</f>
        <v>972.4</v>
      </c>
      <c r="Q4" s="464">
        <f>SUM(B4:P4)</f>
        <v>238942.55672453094</v>
      </c>
    </row>
    <row r="5" spans="1:17">
      <c r="A5" s="461" t="s">
        <v>156</v>
      </c>
      <c r="B5" s="462">
        <f ca="1">tertiair!B16</f>
        <v>36691.815724469947</v>
      </c>
      <c r="C5" s="462">
        <f ca="1">tertiair!C16</f>
        <v>1928.5714285714287</v>
      </c>
      <c r="D5" s="462">
        <f ca="1">tertiair!D16</f>
        <v>39535.313208872438</v>
      </c>
      <c r="E5" s="462">
        <f>tertiair!E16</f>
        <v>419.41396729030248</v>
      </c>
      <c r="F5" s="462">
        <f ca="1">tertiair!F16</f>
        <v>6702.6448090531276</v>
      </c>
      <c r="G5" s="462">
        <f>tertiair!G16</f>
        <v>0</v>
      </c>
      <c r="H5" s="462">
        <f>tertiair!H16</f>
        <v>0</v>
      </c>
      <c r="I5" s="462">
        <f>tertiair!I16</f>
        <v>0</v>
      </c>
      <c r="J5" s="462">
        <f>tertiair!J16</f>
        <v>0</v>
      </c>
      <c r="K5" s="462">
        <f>tertiair!K16</f>
        <v>0</v>
      </c>
      <c r="L5" s="462">
        <f ca="1">tertiair!L16</f>
        <v>0</v>
      </c>
      <c r="M5" s="462">
        <f>tertiair!M16</f>
        <v>0</v>
      </c>
      <c r="N5" s="462">
        <f ca="1">tertiair!N16</f>
        <v>1662.5480864678793</v>
      </c>
      <c r="O5" s="462">
        <f>tertiair!O16</f>
        <v>0</v>
      </c>
      <c r="P5" s="463">
        <f>tertiair!P16</f>
        <v>38.133333333333333</v>
      </c>
      <c r="Q5" s="461">
        <f t="shared" ref="Q5:Q14" ca="1" si="0">SUM(B5:P5)</f>
        <v>86978.440558058457</v>
      </c>
    </row>
    <row r="6" spans="1:17">
      <c r="A6" s="461" t="s">
        <v>194</v>
      </c>
      <c r="B6" s="462">
        <f>'openbare verlichting'!B8</f>
        <v>1838.4649999999999</v>
      </c>
      <c r="C6" s="462"/>
      <c r="D6" s="462"/>
      <c r="E6" s="462"/>
      <c r="F6" s="462"/>
      <c r="G6" s="462"/>
      <c r="H6" s="462"/>
      <c r="I6" s="462"/>
      <c r="J6" s="462"/>
      <c r="K6" s="462"/>
      <c r="L6" s="462"/>
      <c r="M6" s="462"/>
      <c r="N6" s="462"/>
      <c r="O6" s="462"/>
      <c r="P6" s="463"/>
      <c r="Q6" s="461">
        <f t="shared" si="0"/>
        <v>1838.4649999999999</v>
      </c>
    </row>
    <row r="7" spans="1:17">
      <c r="A7" s="461" t="s">
        <v>112</v>
      </c>
      <c r="B7" s="462">
        <f>landbouw!B8</f>
        <v>1055.6611927380741</v>
      </c>
      <c r="C7" s="462">
        <f>landbouw!C8</f>
        <v>0</v>
      </c>
      <c r="D7" s="462">
        <f>landbouw!D8</f>
        <v>156.88708561524078</v>
      </c>
      <c r="E7" s="462">
        <f>landbouw!E8</f>
        <v>13.302690996625481</v>
      </c>
      <c r="F7" s="462">
        <f>landbouw!F8</f>
        <v>3642.2955738772057</v>
      </c>
      <c r="G7" s="462">
        <f>landbouw!G8</f>
        <v>0</v>
      </c>
      <c r="H7" s="462">
        <f>landbouw!H8</f>
        <v>0</v>
      </c>
      <c r="I7" s="462">
        <f>landbouw!I8</f>
        <v>0</v>
      </c>
      <c r="J7" s="462">
        <f>landbouw!J8</f>
        <v>158.75944305489847</v>
      </c>
      <c r="K7" s="462">
        <f>landbouw!K8</f>
        <v>0</v>
      </c>
      <c r="L7" s="462">
        <f>landbouw!L8</f>
        <v>0</v>
      </c>
      <c r="M7" s="462">
        <f>landbouw!M8</f>
        <v>0</v>
      </c>
      <c r="N7" s="462">
        <f>landbouw!N8</f>
        <v>0</v>
      </c>
      <c r="O7" s="462">
        <f>landbouw!O8</f>
        <v>0</v>
      </c>
      <c r="P7" s="463">
        <f>landbouw!P8</f>
        <v>0</v>
      </c>
      <c r="Q7" s="461">
        <f t="shared" si="0"/>
        <v>5026.905986282045</v>
      </c>
    </row>
    <row r="8" spans="1:17">
      <c r="A8" s="461" t="s">
        <v>657</v>
      </c>
      <c r="B8" s="462">
        <f>industrie!B18</f>
        <v>30961.251790170438</v>
      </c>
      <c r="C8" s="462">
        <f>industrie!C18</f>
        <v>0</v>
      </c>
      <c r="D8" s="462">
        <f>industrie!D18</f>
        <v>9088.0015809368961</v>
      </c>
      <c r="E8" s="462">
        <f>industrie!E18</f>
        <v>5585.3891313508157</v>
      </c>
      <c r="F8" s="462">
        <f>industrie!F18</f>
        <v>20212.884874936648</v>
      </c>
      <c r="G8" s="462">
        <f>industrie!G18</f>
        <v>0</v>
      </c>
      <c r="H8" s="462">
        <f>industrie!H18</f>
        <v>0</v>
      </c>
      <c r="I8" s="462">
        <f>industrie!I18</f>
        <v>0</v>
      </c>
      <c r="J8" s="462">
        <f>industrie!J18</f>
        <v>23.361652478300467</v>
      </c>
      <c r="K8" s="462">
        <f>industrie!K18</f>
        <v>0</v>
      </c>
      <c r="L8" s="462">
        <f>industrie!L18</f>
        <v>0</v>
      </c>
      <c r="M8" s="462">
        <f>industrie!M18</f>
        <v>0</v>
      </c>
      <c r="N8" s="462">
        <f>industrie!N18</f>
        <v>8669.6493598378183</v>
      </c>
      <c r="O8" s="462">
        <f>industrie!O18</f>
        <v>0</v>
      </c>
      <c r="P8" s="463">
        <f>industrie!P18</f>
        <v>0</v>
      </c>
      <c r="Q8" s="461">
        <f t="shared" si="0"/>
        <v>74540.538389710913</v>
      </c>
    </row>
    <row r="9" spans="1:17" s="467" customFormat="1">
      <c r="A9" s="465" t="s">
        <v>574</v>
      </c>
      <c r="B9" s="466">
        <f>transport!B14</f>
        <v>7.2132451523673531</v>
      </c>
      <c r="C9" s="466">
        <f>transport!C14</f>
        <v>0</v>
      </c>
      <c r="D9" s="466">
        <f>transport!D14</f>
        <v>12.775526694150539</v>
      </c>
      <c r="E9" s="466">
        <f>transport!E14</f>
        <v>386.76992970308544</v>
      </c>
      <c r="F9" s="466">
        <f>transport!F14</f>
        <v>0</v>
      </c>
      <c r="G9" s="466">
        <f>transport!G14</f>
        <v>95125.409471065184</v>
      </c>
      <c r="H9" s="466">
        <f>transport!H14</f>
        <v>19023.122466714172</v>
      </c>
      <c r="I9" s="466">
        <f>transport!I14</f>
        <v>0</v>
      </c>
      <c r="J9" s="466">
        <f>transport!J14</f>
        <v>0</v>
      </c>
      <c r="K9" s="466">
        <f>transport!K14</f>
        <v>0</v>
      </c>
      <c r="L9" s="466">
        <f>transport!L14</f>
        <v>0</v>
      </c>
      <c r="M9" s="466">
        <f>transport!M14</f>
        <v>5161.2441026708411</v>
      </c>
      <c r="N9" s="466">
        <f>transport!N14</f>
        <v>0</v>
      </c>
      <c r="O9" s="466">
        <f>transport!O14</f>
        <v>0</v>
      </c>
      <c r="P9" s="466">
        <f>transport!P14</f>
        <v>0</v>
      </c>
      <c r="Q9" s="465">
        <f>SUM(B9:P9)</f>
        <v>119716.53474199981</v>
      </c>
    </row>
    <row r="10" spans="1:17">
      <c r="A10" s="461" t="s">
        <v>564</v>
      </c>
      <c r="B10" s="462">
        <f>transport!B54</f>
        <v>0</v>
      </c>
      <c r="C10" s="462">
        <f>transport!C54</f>
        <v>0</v>
      </c>
      <c r="D10" s="462">
        <f>transport!D54</f>
        <v>0</v>
      </c>
      <c r="E10" s="462">
        <f>transport!E54</f>
        <v>0</v>
      </c>
      <c r="F10" s="462">
        <f>transport!F54</f>
        <v>0</v>
      </c>
      <c r="G10" s="462">
        <f>transport!G54</f>
        <v>2198.7091645995306</v>
      </c>
      <c r="H10" s="462">
        <f>transport!H54</f>
        <v>0</v>
      </c>
      <c r="I10" s="462">
        <f>transport!I54</f>
        <v>0</v>
      </c>
      <c r="J10" s="462">
        <f>transport!J54</f>
        <v>0</v>
      </c>
      <c r="K10" s="462">
        <f>transport!K54</f>
        <v>0</v>
      </c>
      <c r="L10" s="462">
        <f>transport!L54</f>
        <v>0</v>
      </c>
      <c r="M10" s="462">
        <f>transport!M54</f>
        <v>97.781974408498129</v>
      </c>
      <c r="N10" s="462">
        <f>transport!N54</f>
        <v>0</v>
      </c>
      <c r="O10" s="462">
        <f>transport!O54</f>
        <v>0</v>
      </c>
      <c r="P10" s="463">
        <f>transport!P54</f>
        <v>0</v>
      </c>
      <c r="Q10" s="461">
        <f t="shared" si="0"/>
        <v>2296.4911390080288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1911.7660088310499</v>
      </c>
      <c r="C14" s="469"/>
      <c r="D14" s="469">
        <f>'SEAP template'!E25</f>
        <v>6056.95351554847</v>
      </c>
      <c r="E14" s="469"/>
      <c r="F14" s="469"/>
      <c r="G14" s="469"/>
      <c r="H14" s="469"/>
      <c r="I14" s="469"/>
      <c r="J14" s="469"/>
      <c r="K14" s="469"/>
      <c r="L14" s="469"/>
      <c r="M14" s="469"/>
      <c r="N14" s="469"/>
      <c r="O14" s="469"/>
      <c r="P14" s="470"/>
      <c r="Q14" s="461">
        <f t="shared" si="0"/>
        <v>7968.7195243795195</v>
      </c>
    </row>
    <row r="15" spans="1:17" s="474" customFormat="1">
      <c r="A15" s="471" t="s">
        <v>568</v>
      </c>
      <c r="B15" s="472">
        <f ca="1">SUM(B4:B14)</f>
        <v>125543.58671386461</v>
      </c>
      <c r="C15" s="472">
        <f t="shared" ref="C15:Q15" ca="1" si="1">SUM(C4:C14)</f>
        <v>1928.5714285714287</v>
      </c>
      <c r="D15" s="472">
        <f t="shared" ca="1" si="1"/>
        <v>137530.69232732055</v>
      </c>
      <c r="E15" s="472">
        <f t="shared" si="1"/>
        <v>14010.706018708355</v>
      </c>
      <c r="F15" s="472">
        <f t="shared" ca="1" si="1"/>
        <v>94207.429174702309</v>
      </c>
      <c r="G15" s="472">
        <f t="shared" si="1"/>
        <v>97324.118635664709</v>
      </c>
      <c r="H15" s="472">
        <f t="shared" si="1"/>
        <v>19023.122466714172</v>
      </c>
      <c r="I15" s="472">
        <f t="shared" si="1"/>
        <v>0</v>
      </c>
      <c r="J15" s="472">
        <f t="shared" si="1"/>
        <v>10064.039903482222</v>
      </c>
      <c r="K15" s="472">
        <f t="shared" si="1"/>
        <v>0</v>
      </c>
      <c r="L15" s="472">
        <f t="shared" ca="1" si="1"/>
        <v>0</v>
      </c>
      <c r="M15" s="472">
        <f t="shared" si="1"/>
        <v>5259.0260770793393</v>
      </c>
      <c r="N15" s="472">
        <f t="shared" ca="1" si="1"/>
        <v>31139.495984528665</v>
      </c>
      <c r="O15" s="472">
        <f t="shared" si="1"/>
        <v>267.33000000000004</v>
      </c>
      <c r="P15" s="472">
        <f t="shared" si="1"/>
        <v>1010.5333333333333</v>
      </c>
      <c r="Q15" s="472">
        <f t="shared" ca="1" si="1"/>
        <v>537308.65206396976</v>
      </c>
    </row>
    <row r="17" spans="1:17">
      <c r="A17" s="475" t="s">
        <v>569</v>
      </c>
      <c r="B17" s="781">
        <f ca="1">huishoudens!B10</f>
        <v>0.20971596607133716</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11131.181101674187</v>
      </c>
      <c r="C22" s="462">
        <f t="shared" ref="C22:C32" ca="1" si="3">C4*$C$17</f>
        <v>0</v>
      </c>
      <c r="D22" s="462">
        <f t="shared" ref="D22:D32" si="4">D4*$D$17</f>
        <v>16701.513804749982</v>
      </c>
      <c r="E22" s="462">
        <f t="shared" ref="E22:E32" si="5">E4*$E$17</f>
        <v>1726.5234779564287</v>
      </c>
      <c r="F22" s="462">
        <f t="shared" ref="F22:F32" si="6">F4*$F$17</f>
        <v>16994.444245795035</v>
      </c>
      <c r="G22" s="462">
        <f t="shared" ref="G22:G32" si="7">G4*$G$17</f>
        <v>0</v>
      </c>
      <c r="H22" s="462">
        <f t="shared" ref="H22:H32" si="8">H4*$H$17</f>
        <v>0</v>
      </c>
      <c r="I22" s="462">
        <f t="shared" ref="I22:I32" si="9">I4*$I$17</f>
        <v>0</v>
      </c>
      <c r="J22" s="462">
        <f t="shared" ref="J22:J32" si="10">J4*$J$17</f>
        <v>3498.199258013954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50051.861888189589</v>
      </c>
    </row>
    <row r="23" spans="1:17">
      <c r="A23" s="461" t="s">
        <v>156</v>
      </c>
      <c r="B23" s="462">
        <f t="shared" ca="1" si="2"/>
        <v>7694.8595815686949</v>
      </c>
      <c r="C23" s="462">
        <f t="shared" ca="1" si="3"/>
        <v>458.31932773109253</v>
      </c>
      <c r="D23" s="462">
        <f t="shared" ca="1" si="4"/>
        <v>7986.1332681922331</v>
      </c>
      <c r="E23" s="462">
        <f t="shared" si="5"/>
        <v>95.206970574898662</v>
      </c>
      <c r="F23" s="462">
        <f t="shared" ca="1" si="6"/>
        <v>1789.6061640171852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18024.125312084107</v>
      </c>
    </row>
    <row r="24" spans="1:17">
      <c r="A24" s="461" t="s">
        <v>194</v>
      </c>
      <c r="B24" s="462">
        <f t="shared" ca="1" si="2"/>
        <v>385.55546356334088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385.55546356334088</v>
      </c>
    </row>
    <row r="25" spans="1:17">
      <c r="A25" s="461" t="s">
        <v>112</v>
      </c>
      <c r="B25" s="462">
        <f t="shared" ca="1" si="2"/>
        <v>221.38900687908526</v>
      </c>
      <c r="C25" s="462">
        <f t="shared" ca="1" si="3"/>
        <v>0</v>
      </c>
      <c r="D25" s="462">
        <f t="shared" si="4"/>
        <v>31.691191294278639</v>
      </c>
      <c r="E25" s="462">
        <f t="shared" si="5"/>
        <v>3.0197108562339841</v>
      </c>
      <c r="F25" s="462">
        <f t="shared" si="6"/>
        <v>972.492918225214</v>
      </c>
      <c r="G25" s="462">
        <f t="shared" si="7"/>
        <v>0</v>
      </c>
      <c r="H25" s="462">
        <f t="shared" si="8"/>
        <v>0</v>
      </c>
      <c r="I25" s="462">
        <f t="shared" si="9"/>
        <v>0</v>
      </c>
      <c r="J25" s="462">
        <f t="shared" si="10"/>
        <v>56.200842841434053</v>
      </c>
      <c r="K25" s="462">
        <f t="shared" si="11"/>
        <v>0</v>
      </c>
      <c r="L25" s="462">
        <f t="shared" si="12"/>
        <v>0</v>
      </c>
      <c r="M25" s="462">
        <f t="shared" si="13"/>
        <v>0</v>
      </c>
      <c r="N25" s="462">
        <f t="shared" si="14"/>
        <v>0</v>
      </c>
      <c r="O25" s="462">
        <f t="shared" si="15"/>
        <v>0</v>
      </c>
      <c r="P25" s="463">
        <f t="shared" si="16"/>
        <v>0</v>
      </c>
      <c r="Q25" s="461">
        <f t="shared" ca="1" si="17"/>
        <v>1284.7936700962459</v>
      </c>
    </row>
    <row r="26" spans="1:17">
      <c r="A26" s="461" t="s">
        <v>657</v>
      </c>
      <c r="B26" s="462">
        <f t="shared" ca="1" si="2"/>
        <v>6493.0688299535104</v>
      </c>
      <c r="C26" s="462">
        <f t="shared" ca="1" si="3"/>
        <v>0</v>
      </c>
      <c r="D26" s="462">
        <f t="shared" si="4"/>
        <v>1835.7763193492531</v>
      </c>
      <c r="E26" s="462">
        <f t="shared" si="5"/>
        <v>1267.8833328166352</v>
      </c>
      <c r="F26" s="462">
        <f t="shared" si="6"/>
        <v>5396.8402616080857</v>
      </c>
      <c r="G26" s="462">
        <f t="shared" si="7"/>
        <v>0</v>
      </c>
      <c r="H26" s="462">
        <f t="shared" si="8"/>
        <v>0</v>
      </c>
      <c r="I26" s="462">
        <f t="shared" si="9"/>
        <v>0</v>
      </c>
      <c r="J26" s="462">
        <f t="shared" si="10"/>
        <v>8.2700249773183643</v>
      </c>
      <c r="K26" s="462">
        <f t="shared" si="11"/>
        <v>0</v>
      </c>
      <c r="L26" s="462">
        <f t="shared" si="12"/>
        <v>0</v>
      </c>
      <c r="M26" s="462">
        <f t="shared" si="13"/>
        <v>0</v>
      </c>
      <c r="N26" s="462">
        <f t="shared" si="14"/>
        <v>0</v>
      </c>
      <c r="O26" s="462">
        <f t="shared" si="15"/>
        <v>0</v>
      </c>
      <c r="P26" s="463">
        <f t="shared" si="16"/>
        <v>0</v>
      </c>
      <c r="Q26" s="461">
        <f t="shared" ca="1" si="17"/>
        <v>15001.838768704803</v>
      </c>
    </row>
    <row r="27" spans="1:17" s="467" customFormat="1">
      <c r="A27" s="465" t="s">
        <v>574</v>
      </c>
      <c r="B27" s="775">
        <f t="shared" ca="1" si="2"/>
        <v>1.512732675638109</v>
      </c>
      <c r="C27" s="466">
        <f t="shared" ca="1" si="3"/>
        <v>0</v>
      </c>
      <c r="D27" s="466">
        <f t="shared" si="4"/>
        <v>2.5806563922184091</v>
      </c>
      <c r="E27" s="466">
        <f t="shared" si="5"/>
        <v>87.796774042600404</v>
      </c>
      <c r="F27" s="466">
        <f t="shared" si="6"/>
        <v>0</v>
      </c>
      <c r="G27" s="466">
        <f t="shared" si="7"/>
        <v>25398.484328774404</v>
      </c>
      <c r="H27" s="466">
        <f t="shared" si="8"/>
        <v>4736.757494211829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30227.131986096691</v>
      </c>
    </row>
    <row r="28" spans="1:17">
      <c r="A28" s="461" t="s">
        <v>564</v>
      </c>
      <c r="B28" s="462">
        <f t="shared" ca="1" si="2"/>
        <v>0</v>
      </c>
      <c r="C28" s="462">
        <f t="shared" ca="1" si="3"/>
        <v>0</v>
      </c>
      <c r="D28" s="462">
        <f t="shared" si="4"/>
        <v>0</v>
      </c>
      <c r="E28" s="462">
        <f t="shared" si="5"/>
        <v>0</v>
      </c>
      <c r="F28" s="462">
        <f t="shared" si="6"/>
        <v>0</v>
      </c>
      <c r="G28" s="462">
        <f t="shared" si="7"/>
        <v>587.05534694807466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587.05534694807466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400.92785544434815</v>
      </c>
      <c r="C32" s="462">
        <f t="shared" ca="1" si="3"/>
        <v>0</v>
      </c>
      <c r="D32" s="462">
        <f t="shared" si="4"/>
        <v>1223.5046101407911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1624.4324655851392</v>
      </c>
    </row>
    <row r="33" spans="1:17" s="474" customFormat="1">
      <c r="A33" s="471" t="s">
        <v>568</v>
      </c>
      <c r="B33" s="472">
        <f ca="1">SUM(B22:B32)</f>
        <v>26328.494571758805</v>
      </c>
      <c r="C33" s="472">
        <f t="shared" ref="C33:Q33" ca="1" si="18">SUM(C22:C32)</f>
        <v>458.31932773109253</v>
      </c>
      <c r="D33" s="472">
        <f t="shared" ca="1" si="18"/>
        <v>27781.199850118755</v>
      </c>
      <c r="E33" s="472">
        <f t="shared" si="18"/>
        <v>3180.4302662467967</v>
      </c>
      <c r="F33" s="472">
        <f t="shared" ca="1" si="18"/>
        <v>25153.38358964552</v>
      </c>
      <c r="G33" s="472">
        <f t="shared" si="18"/>
        <v>25985.539675722481</v>
      </c>
      <c r="H33" s="472">
        <f t="shared" si="18"/>
        <v>4736.757494211829</v>
      </c>
      <c r="I33" s="472">
        <f t="shared" si="18"/>
        <v>0</v>
      </c>
      <c r="J33" s="472">
        <f t="shared" si="18"/>
        <v>3562.6701258327066</v>
      </c>
      <c r="K33" s="472">
        <f t="shared" si="18"/>
        <v>0</v>
      </c>
      <c r="L33" s="472">
        <f t="shared" ca="1" si="18"/>
        <v>0</v>
      </c>
      <c r="M33" s="472">
        <f t="shared" si="18"/>
        <v>0</v>
      </c>
      <c r="N33" s="472">
        <f t="shared" ca="1" si="18"/>
        <v>0</v>
      </c>
      <c r="O33" s="472">
        <f t="shared" si="18"/>
        <v>0</v>
      </c>
      <c r="P33" s="472">
        <f t="shared" si="18"/>
        <v>0</v>
      </c>
      <c r="Q33" s="472">
        <f t="shared" ca="1" si="18"/>
        <v>117186.794901268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7.7452914798206276</v>
      </c>
      <c r="C5" s="1047"/>
      <c r="D5" s="1047"/>
      <c r="E5" s="1047"/>
      <c r="F5" s="1047"/>
      <c r="G5" s="1047"/>
      <c r="H5" s="1047"/>
      <c r="I5" s="1047"/>
      <c r="J5" s="1047"/>
      <c r="K5" s="1047"/>
      <c r="L5" s="1047"/>
      <c r="M5" s="1047"/>
      <c r="N5" s="1047"/>
      <c r="O5" s="1047"/>
      <c r="P5" s="1048">
        <f>'SEAP template'!Q73</f>
        <v>0</v>
      </c>
    </row>
    <row r="6" spans="1:16">
      <c r="A6" s="1049" t="s">
        <v>251</v>
      </c>
      <c r="B6" s="1047">
        <f>'SEAP template'!B74</f>
        <v>6504.0720000000001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1350</v>
      </c>
      <c r="D8" s="1047">
        <f>'SEAP template'!D76</f>
        <v>1588.2352941176473</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320.82352941176475</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6511.8172914798206</v>
      </c>
      <c r="C10" s="1051">
        <f>SUM(C4:C9)</f>
        <v>1350</v>
      </c>
      <c r="D10" s="1051">
        <f t="shared" ref="D10:H10" si="0">SUM(D8:D9)</f>
        <v>1588.2352941176473</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320.82352941176475</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0.20971596607133716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1928.5714285714287</v>
      </c>
      <c r="D17" s="1048">
        <f>'SEAP template'!D87</f>
        <v>2268.9075630252105</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458.31932773109253</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1928.5714285714287</v>
      </c>
      <c r="D20" s="1051">
        <f t="shared" ref="D20:H20" si="2">SUM(D17:D19)</f>
        <v>2268.9075630252105</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458.31932773109253</v>
      </c>
    </row>
    <row r="22" spans="1:16">
      <c r="A22" s="475" t="s">
        <v>895</v>
      </c>
      <c r="B22" s="781" t="s">
        <v>889</v>
      </c>
      <c r="C22" s="781">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0.20971596607133716</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2019-08-12T08:03:41Z</dcterms:modified>
</cp:coreProperties>
</file>