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<sst xmlns="http://schemas.openxmlformats.org/spreadsheetml/2006/main" count="2468" uniqueCount="931">
  <si>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</si>
  <si>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</si>
  <si>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</si>
  <si>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</si>
  <si>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</si>
  <si>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</si>
  <si>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</si>
  <si>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</si>
  <si>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</si>
  <si>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</si>
  <si>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</si>
  <si>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</si>
  <si>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</si>
  <si>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</si>
  <si>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</si>
  <si>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</si>
  <si>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</si>
  <si>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</si>
  <si>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</si>
  <si>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</si>
  <si>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</si>
  <si>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</si>
  <si>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</si>
  <si>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</si>
  <si>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</si>
  <si>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</si>
  <si>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</si>
  <si>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</si>
  <si>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</si>
  <si>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</si>
  <si>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</si>
  <si>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</si>
  <si>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</si>
  <si>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</si>
  <si>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</si>
  <si>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</si>
  <si>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</si>
  <si>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</si>
  <si>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</si>
  <si>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</si>
  <si>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</si>
  <si>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</si>
  <si>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</si>
  <si>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</si>
  <si>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</si>
  <si>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</si>
  <si>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</si>
  <si>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</si>
  <si>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</si>
  <si>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</si>
  <si>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</si>
  <si>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</si>
  <si>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</si>
  <si>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</si>
  <si>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</si>
  <si>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</si>
  <si>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</si>
  <si>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</si>
  <si>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</si>
  <si>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</si>
  <si>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</si>
  <si>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</si>
  <si>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</si>
  <si>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</si>
  <si>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</si>
  <si>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</si>
  <si>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</si>
  <si>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</si>
  <si>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</si>
  <si>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</si>
  <si>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</si>
  <si>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</si>
  <si>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</si>
  <si>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</si>
  <si>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</si>
  <si>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</si>
  <si>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</si>
  <si>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</si>
  <si>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</si>
  <si>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</si>
  <si>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</si>
  <si>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</si>
  <si>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</si>
  <si>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</si>
  <si>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</si>
  <si>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</si>
  <si>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</si>
  <si>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</si>
  <si>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</si>
  <si>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</si>
  <si>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</si>
  <si>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</si>
  <si>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</si>
  <si>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</si>
  <si>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</si>
  <si>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</si>
  <si>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</si>
  <si>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</si>
  <si>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</si>
  <si>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</si>
  <si>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</si>
  <si>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</si>
  <si>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</si>
  <si>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</si>
  <si>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</si>
  <si>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</si>
  <si>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</si>
  <si>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</si>
  <si>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</si>
  <si>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</si>
  <si>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</si>
  <si>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</si>
  <si>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</si>
  <si>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</si>
  <si>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</si>
  <si>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</si>
  <si>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</si>
  <si>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</si>
  <si>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</si>
  <si>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</si>
  <si>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</si>
  <si>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</si>
  <si>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</si>
  <si>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</si>
  <si>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</si>
  <si>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</si>
  <si>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</si>
  <si>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</si>
  <si>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</si>
  <si>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</si>
  <si>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</si>
  <si>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</si>
  <si>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</si>
  <si>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</si>
  <si>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</si>
  <si>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</si>
  <si>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</si>
  <si>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</si>
  <si>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</si>
  <si>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</si>
  <si>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</si>
  <si>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</si>
  <si>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</si>
  <si>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</si>
  <si>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</si>
  <si>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</si>
  <si>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</si>
  <si>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</si>
  <si>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</si>
  <si>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</si>
  <si>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</si>
  <si>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</si>
  <si>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</si>
  <si>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</si>
  <si>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</si>
  <si>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</si>
  <si>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</si>
  <si>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</si>
  <si>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</si>
  <si>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</si>
  <si>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</si>
  <si>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</si>
  <si>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</si>
  <si>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</si>
  <si>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</si>
  <si>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</si>
  <si>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</si>
  <si>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</si>
  <si>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</si>
  <si>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</si>
  <si>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</si>
  <si>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</si>
  <si>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</si>
  <si>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</si>
  <si>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</si>
  <si>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</si>
  <si>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</si>
  <si>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</si>
  <si>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</si>
  <si>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</si>
  <si>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</si>
  <si>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</si>
  <si>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</si>
  <si>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</si>
  <si>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</si>
  <si>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</si>
  <si>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</si>
  <si>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</si>
  <si>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</si>
  <si>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</si>
  <si>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</si>
  <si>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</si>
  <si>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</si>
  <si>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</si>
  <si>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</si>
  <si>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</si>
  <si>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</si>
  <si>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</si>
  <si>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</si>
  <si>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</si>
  <si>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</si>
  <si>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</si>
  <si>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</si>
  <si>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</si>
  <si>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</si>
  <si>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</si>
  <si>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</si>
  <si>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</si>
  <si>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</si>
  <si>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</si>
  <si>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</si>
  <si>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</si>
  <si>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</si>
  <si>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</si>
  <si>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</si>
  <si>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</si>
  <si>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</si>
  <si>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</si>
  <si>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</si>
  <si>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</si>
  <si>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</si>
  <si>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</si>
  <si>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</si>
  <si>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</si>
  <si>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</si>
  <si>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</si>
  <si>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</si>
  <si>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</si>
  <si>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</si>
  <si>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</si>
  <si>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</si>
  <si>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</si>
  <si>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</si>
  <si>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</si>
  <si>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</si>
  <si>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</si>
  <si>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</si>
  <si>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</si>
  <si>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</si>
  <si>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</si>
  <si>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</si>
  <si>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</si>
  <si>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</si>
  <si>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</si>
  <si>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</si>
  <si>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</si>
  <si>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</si>
  <si>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</si>
  <si>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</si>
  <si>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</si>
  <si>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</si>
  <si>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</si>
  <si>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</si>
  <si>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</si>
  <si>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</si>
  <si>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</si>
  <si>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</si>
  <si>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</si>
  <si>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</si>
  <si>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</si>
  <si>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</si>
  <si>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</si>
  <si>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</si>
  <si>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</si>
  <si>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</si>
  <si>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</si>
  <si>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</si>
  <si>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</si>
  <si>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</si>
  <si>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</si>
  <si>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</si>
  <si>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</si>
  <si>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</si>
  <si>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</si>
  <si>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</si>
  <si>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</si>
  <si>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</si>
  <si>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</si>
  <si>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</si>
  <si>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</si>
  <si>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</si>
  <si>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</si>
  <si>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</si>
  <si>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</si>
  <si>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</si>
  <si>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</si>
  <si>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</si>
  <si>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</si>
  <si>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</si>
  <si>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</si>
  <si>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</si>
  <si>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</si>
  <si>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</si>
  <si>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</si>
  <si>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</si>
  <si>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</si>
  <si>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</si>
  <si>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</si>
  <si>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</si>
  <si>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</si>
  <si>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</si>
  <si>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</si>
  <si>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</si>
  <si>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</si>
  <si>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</si>
  <si>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</si>
  <si>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</si>
  <si>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</si>
  <si>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</si>
  <si>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</si>
  <si>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</si>
  <si>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</si>
  <si>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</si>
  <si>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</si>
  <si>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</si>
  <si>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</si>
  <si>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</si>
  <si>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</si>
  <si>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</si>
  <si>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</si>
  <si>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</si>
  <si>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</si>
  <si>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</si>
  <si>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</si>
  <si>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</si>
  <si>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</si>
  <si>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</si>
  <si>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</si>
  <si>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</si>
  <si>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</si>
  <si>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</si>
  <si>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</si>
  <si>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</si>
  <si>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</si>
  <si>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</si>
  <si>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</si>
  <si>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</si>
  <si>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</si>
  <si>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</si>
  <si>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</si>
  <si>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</si>
  <si>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</si>
  <si>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</si>
  <si>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</si>
  <si>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</si>
  <si>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</si>
  <si>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</si>
  <si>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</si>
  <si>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</si>
  <si>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</si>
  <si>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</si>
  <si>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</si>
  <si>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</si>
  <si>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</si>
  <si>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</si>
  <si>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</si>
  <si>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</si>
  <si>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</si>
  <si>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</si>
  <si>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</si>
  <si>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</si>
  <si>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</si>
  <si>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</si>
  <si>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</si>
  <si>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</si>
  <si>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</si>
  <si>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</si>
  <si>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</si>
  <si>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</si>
  <si>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</si>
  <si>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</si>
  <si>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</si>
  <si>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</si>
  <si>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</si>
  <si>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</si>
  <si>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</si>
  <si>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</si>
  <si>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</si>
  <si>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</si>
  <si>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</si>
  <si>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</si>
  <si>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</si>
  <si>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</si>
  <si>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</si>
  <si>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</si>
  <si>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</si>
  <si>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</si>
  <si>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</si>
  <si>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</si>
  <si>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</si>
  <si>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</si>
  <si>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</si>
  <si>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</si>
  <si>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</si>
  <si>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</si>
  <si>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</si>
  <si>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</si>
  <si>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</si>
  <si>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</si>
  <si>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</si>
  <si>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</si>
  <si>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</si>
  <si>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</si>
  <si>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</si>
  <si>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</si>
  <si>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</si>
  <si>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</si>
  <si>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</si>
  <si>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</si>
  <si>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</si>
  <si>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</si>
  <si>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</si>
  <si>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</si>
  <si>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</si>
  <si>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</si>
  <si>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</si>
  <si>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</si>
  <si>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</si>
  <si>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</si>
  <si>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</si>
  <si>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</si>
  <si>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</si>
  <si>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</si>
  <si>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</si>
  <si>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</si>
  <si>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</si>
  <si>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</si>
  <si>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</si>
  <si>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</si>
  <si>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</si>
  <si>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</si>
  <si>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</si>
  <si>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</si>
  <si>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</si>
  <si>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</si>
  <si>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</si>
  <si>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</si>
  <si>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</si>
  <si>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</si>
  <si>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</si>
  <si>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</si>
  <si>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</si>
  <si>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</si>
  <si>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</si>
  <si>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</si>
  <si>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</si>
  <si>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</si>
  <si>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</si>
  <si>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</si>
  <si>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</si>
  <si>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</si>
  <si>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</si>
  <si>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</si>
  <si>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</si>
  <si>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</si>
  <si>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</si>
  <si>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</si>
  <si>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</si>
  <si>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</si>
  <si>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</si>
  <si>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</si>
  <si>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</si>
  <si>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</si>
  <si>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</si>
  <si>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</si>
  <si>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</si>
  <si>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</si>
  <si>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</si>
  <si>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</si>
  <si>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</si>
  <si>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</si>
  <si>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</si>
  <si>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</si>
  <si>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</si>
  <si>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</si>
  <si>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</si>
  <si>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</si>
  <si>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</si>
  <si>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</si>
  <si>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</si>
  <si>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</si>
  <si>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</si>
  <si>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</si>
  <si>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</si>
  <si>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</si>
  <si>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</si>
  <si>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</si>
  <si>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</si>
  <si>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</si>
  <si>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</si>
  <si>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</si>
  <si>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</si>
  <si>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</si>
  <si>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</si>
  <si>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</si>
  <si>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</si>
  <si>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</si>
  <si>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</si>
  <si>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</si>
  <si>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</si>
  <si>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</si>
  <si>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</si>
  <si>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</si>
  <si>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</si>
  <si>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</si>
  <si>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</si>
  <si>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</si>
  <si>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</si>
  <si>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</si>
  <si>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</si>
  <si>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</si>
  <si>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</si>
  <si>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</si>
  <si>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</si>
  <si>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</si>
  <si>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</si>
  <si>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</si>
  <si>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</si>
  <si>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</si>
  <si>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</si>
  <si>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</si>
  <si>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</si>
  <si>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</si>
  <si>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</si>
  <si>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</si>
  <si>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</si>
  <si>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</si>
  <si>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</si>
  <si>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</si>
  <si>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</si>
  <si>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</si>
  <si>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</si>
  <si>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</si>
  <si>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</si>
  <si>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</si>
  <si>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</si>
  <si>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</si>
  <si>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</si>
  <si>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</si>
  <si>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</si>
  <si>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</si>
  <si>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</si>
  <si>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</si>
  <si>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</si>
  <si>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</si>
  <si>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</si>
  <si>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</si>
  <si>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</si>
  <si>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</si>
  <si>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</si>
  <si>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</si>
  <si>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</si>
  <si>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</si>
  <si>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</si>
  <si>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</si>
  <si>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</si>
  <si>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</si>
  <si>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</si>
  <si>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</si>
  <si>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</si>
  <si>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</si>
  <si>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</si>
  <si>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</si>
  <si>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</si>
  <si>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</si>
  <si>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</si>
  <si>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</si>
  <si>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</si>
  <si>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</si>
  <si>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</si>
  <si>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</si>
  <si>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</si>
  <si>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</si>
  <si>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</si>
  <si>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</si>
  <si>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</si>
  <si>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</si>
  <si>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</si>
  <si>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</si>
  <si>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</si>
  <si>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</si>
  <si>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</si>
  <si>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</si>
  <si>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</si>
  <si>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</si>
  <si>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</si>
  <si>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</si>
  <si>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</si>
  <si>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</si>
  <si>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</si>
  <si>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</si>
  <si>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</si>
  <si>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</si>
  <si>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</si>
  <si>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</si>
  <si>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</si>
  <si>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</si>
  <si>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</si>
  <si>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</si>
  <si>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</si>
  <si>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</si>
  <si>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</si>
  <si>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</si>
  <si>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</si>
  <si>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</si>
  <si>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</si>
  <si>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</si>
  <si>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</si>
  <si>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</si>
  <si>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</si>
  <si>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</si>
  <si>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</si>
  <si>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</si>
  <si>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</si>
  <si>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</si>
  <si>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</si>
  <si>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</si>
  <si>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</si>
  <si>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</si>
  <si>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</si>
  <si>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</si>
  <si>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</si>
  <si>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</si>
  <si>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</si>
  <si>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</si>
  <si>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</si>
  <si>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</si>
  <si>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</si>
  <si>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</si>
  <si>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</si>
  <si>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</si>
  <si>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</si>
  <si>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</si>
  <si>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</si>
  <si>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</si>
  <si>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</si>
  <si>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</si>
  <si>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</si>
  <si>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</si>
  <si>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</si>
  <si>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</si>
  <si>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</si>
  <si>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</si>
  <si>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</si>
  <si>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</si>
  <si>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</si>
  <si>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</si>
  <si>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</si>
  <si>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</si>
  <si>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</si>
  <si>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</si>
  <si>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</si>
  <si>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</si>
  <si>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</si>
  <si>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</si>
  <si>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</si>
  <si>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</si>
  <si>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</si>
  <si>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</si>
  <si>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</si>
  <si>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</si>
  <si>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</si>
  <si>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</si>
  <si>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</si>
  <si>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</si>
  <si>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</si>
  <si>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</si>
  <si>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</si>
  <si>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</si>
  <si>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</si>
  <si>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</si>
  <si>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</si>
  <si>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</si>
  <si>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</si>
  <si>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</si>
  <si>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</si>
  <si>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</si>
  <si>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</si>
  <si>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</si>
  <si>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</si>
  <si>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</si>
  <si>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</si>
  <si>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</si>
  <si>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</si>
  <si>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</si>
  <si>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</si>
  <si>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</si>
  <si>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</si>
  <si>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</si>
  <si>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</si>
  <si>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</si>
  <si>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</si>
  <si>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</si>
  <si>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</si>
  <si>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</si>
  <si>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</si>
  <si>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</si>
  <si>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</si>
  <si>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</si>
  <si>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</si>
  <si>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</si>
  <si>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</si>
  <si>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</si>
  <si>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</si>
  <si>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</si>
  <si>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</si>
  <si>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</si>
  <si>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</si>
  <si>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</si>
  <si>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</si>
  <si>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</si>
  <si>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</si>
  <si>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</si>
  <si>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</si>
  <si>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</si>
  <si>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</si>
  <si>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</si>
  <si>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</si>
  <si>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</si>
  <si>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</si>
  <si>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</si>
  <si>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</si>
  <si>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</si>
  <si>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</si>
  <si>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</si>
  <si>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</si>
  <si>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</si>
  <si>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</si>
  <si>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</si>
  <si>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</si>
  <si>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</si>
  <si>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</si>
  <si>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</si>
  <si>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</si>
  <si>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</si>
  <si>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</si>
  <si>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</si>
  <si>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</si>
  <si>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</si>
  <si>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</si>
  <si>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</si>
  <si>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</si>
  <si>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</si>
  <si>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</si>
  <si>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</si>
  <si>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</si>
  <si>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</si>
  <si>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</si>
  <si>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</si>
  <si>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</si>
  <si>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</si>
  <si>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</si>
  <si>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</si>
  <si>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</si>
  <si>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</si>
  <si>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</si>
  <si>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</si>
  <si>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</si>
  <si>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</si>
  <si>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</si>
  <si>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</si>
  <si>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</si>
  <si>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</si>
  <si>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</si>
  <si>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</si>
  <si>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</si>
  <si>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</si>
  <si>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</si>
  <si>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</si>
  <si>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</si>
  <si>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</si>
  <si>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</si>
  <si>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</si>
  <si>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</si>
  <si>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</si>
  <si>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</si>
  <si>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</si>
  <si>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</si>
  <si>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</si>
  <si>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</si>
  <si>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</si>
  <si>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</si>
  <si>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</si>
  <si>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</si>
  <si>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</si>
  <si>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</si>
  <si>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</si>
  <si>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</si>
  <si>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</si>
  <si>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</si>
  <si>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</si>
  <si>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</si>
  <si>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</si>
  <si>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</si>
  <si>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</si>
  <si>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</si>
  <si>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</si>
  <si>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</si>
  <si>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</si>
  <si>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</si>
  <si>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</si>
  <si>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</si>
  <si>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</si>
  <si>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</si>
  <si>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</si>
  <si>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</si>
  <si>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</si>
  <si>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</si>
  <si>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</si>
  <si>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</si>
  <si>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</si>
  <si>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</si>
  <si>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</si>
  <si>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</si>
  <si>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</si>
  <si>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</si>
  <si>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</si>
  <si>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</si>
  <si>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</si>
  <si>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</si>
  <si>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</si>
  <si>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</si>
  <si>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</si>
  <si>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</si>
  <si>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</si>
  <si>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</si>
  <si>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</si>
  <si>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</si>
  <si>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</si>
  <si>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</si>
  <si>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</si>
  <si>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</si>
  <si>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</si>
  <si>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</si>
  <si>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</si>
  <si>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</si>
  <si>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</si>
  <si>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</si>
  <si>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</si>
  <si>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</si>
  <si>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</si>
  <si>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</si>
  <si>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</si>
  <si>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</si>
  <si>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</si>
  <si>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</si>
  <si>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</si>
  <si>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</si>
  <si>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</si>
  <si>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</si>
  <si>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</si>
  <si>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</si>
  <si>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</si>
  <si>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</si>
  <si>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</si>
  <si>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</si>
  <si>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</si>
  <si>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</si>
  <si>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</si>
  <si>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</si>
  <si>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</si>
  <si>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</si>
  <si>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</si>
  <si>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</si>
  <si>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</si>
  <si>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</si>
  <si>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</si>
  <si>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</si>
  <si>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</si>
  <si>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</si>
  <si>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</si>
  <si>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</si>
  <si>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</si>
  <si>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</si>
  <si>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</si>
  <si>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</si>
  <si>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</si>
  <si>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</si>
  <si>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</si>
  <si>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</si>
  <si>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</si>
  <si>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</si>
  <si>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</si>
  <si>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</si>
  <si>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</si>
  <si>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</si>
  <si>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</si>
  <si>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</si>
  <si>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</si>
  <si>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</si>
  <si>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</si>
  <si>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</si>
  <si>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</si>
  <si>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</si>
  <si>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</si>
  <si>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</si>
  <si>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</si>
  <si>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</si>
  <si>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</si>
  <si>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</si>
  <si>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</si>
  <si>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</si>
  <si>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</si>
  <si>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</si>
  <si>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</si>
  <si>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</si>
  <si>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37020</t>
  </si>
  <si>
    <t>ARDOOIE</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</si>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</sst>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91897.165243964686</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91897.165243964686</c:v>
                </c:pt>
                <c:pt idx="1">
                  <c:v>73132.380450004566</c:v>
                </c:pt>
                <c:pt idx="2">
                  <c:v>635.39400000000001</c:v>
                </c:pt>
                <c:pt idx="3">
                  <c:v>67091.960378765216</c:v>
                </c:pt>
                <c:pt idx="4">
                  <c:v>582370.71040472656</c:v>
                </c:pt>
                <c:pt idx="5">
                  <c:v>150922.68228107732</c:v>
                </c:pt>
                <c:pt idx="6">
                  <c:v>1005.3346754293929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17887.713214407617</c:v>
                </c:pt>
                <c:pt idx="2">
                  <c:v>14894.782221457763</c:v>
                </c:pt>
                <c:pt idx="3">
                  <c:v>136.38866584918202</c:v>
                </c:pt>
                <c:pt idx="4">
                  <c:v>16297.600465858279</c:v>
                </c:pt>
                <c:pt idx="5">
                  <c:v>123989.64775544418</c:v>
                </c:pt>
                <c:pt idx="6">
                  <c:v>38194.382265153923</c:v>
                </c:pt>
                <c:pt idx="7">
                  <c:v>256.99515519927678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17887.713214407617</c:v>
                </c:pt>
                <c:pt idx="2">
                  <c:v>14894.782221457763</c:v>
                </c:pt>
                <c:pt idx="3">
                  <c:v>136.38866584918202</c:v>
                </c:pt>
                <c:pt idx="4">
                  <c:v>16297.600465858279</c:v>
                </c:pt>
                <c:pt idx="5">
                  <c:v>123989.64775544418</c:v>
                </c:pt>
                <c:pt idx="6">
                  <c:v>38194.382265153923</c:v>
                </c:pt>
                <c:pt idx="7">
                  <c:v>256.99515519927678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37020</v>
      </c>
      <c r="B6" s="398"/>
      <c r="C6" s="399"/>
    </row>
    <row r="7" spans="1:7" s="396" customFormat="1" ht="15.75" customHeight="1">
      <c r="A7" s="400" t="str">
        <f>txtMunicipality</f>
        <v>ARDOOIE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0.21465211482825147</v>
      </c>
      <c r="C17" s="512">
        <f ca="1">'EF ele_warmte'!B22</f>
        <v>0.22855086966389504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0.21465211482825147</v>
      </c>
      <c r="C29" s="513">
        <f ca="1">'EF ele_warmte'!B22</f>
        <v>0.22855086966389504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37020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3731</v>
      </c>
      <c r="C9" s="338">
        <v>3743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2243</v>
      </c>
    </row>
    <row r="15" spans="1:6">
      <c r="A15" s="1295" t="s">
        <v>184</v>
      </c>
      <c r="B15" s="335">
        <v>20</v>
      </c>
    </row>
    <row r="16" spans="1:6">
      <c r="A16" s="1295" t="s">
        <v>6</v>
      </c>
      <c r="B16" s="335">
        <v>612</v>
      </c>
    </row>
    <row r="17" spans="1:6">
      <c r="A17" s="1295" t="s">
        <v>7</v>
      </c>
      <c r="B17" s="335">
        <v>586</v>
      </c>
    </row>
    <row r="18" spans="1:6">
      <c r="A18" s="1295" t="s">
        <v>8</v>
      </c>
      <c r="B18" s="335">
        <v>842</v>
      </c>
    </row>
    <row r="19" spans="1:6">
      <c r="A19" s="1295" t="s">
        <v>9</v>
      </c>
      <c r="B19" s="335">
        <v>852</v>
      </c>
    </row>
    <row r="20" spans="1:6">
      <c r="A20" s="1295" t="s">
        <v>10</v>
      </c>
      <c r="B20" s="335">
        <v>699</v>
      </c>
    </row>
    <row r="21" spans="1:6">
      <c r="A21" s="1295" t="s">
        <v>11</v>
      </c>
      <c r="B21" s="335">
        <v>19941</v>
      </c>
    </row>
    <row r="22" spans="1:6">
      <c r="A22" s="1295" t="s">
        <v>12</v>
      </c>
      <c r="B22" s="335">
        <v>73846</v>
      </c>
    </row>
    <row r="23" spans="1:6">
      <c r="A23" s="1295" t="s">
        <v>13</v>
      </c>
      <c r="B23" s="335">
        <v>1033</v>
      </c>
    </row>
    <row r="24" spans="1:6">
      <c r="A24" s="1295" t="s">
        <v>14</v>
      </c>
      <c r="B24" s="335">
        <v>40</v>
      </c>
    </row>
    <row r="25" spans="1:6">
      <c r="A25" s="1295" t="s">
        <v>15</v>
      </c>
      <c r="B25" s="335">
        <v>5251</v>
      </c>
    </row>
    <row r="26" spans="1:6">
      <c r="A26" s="1295" t="s">
        <v>16</v>
      </c>
      <c r="B26" s="335">
        <v>26</v>
      </c>
    </row>
    <row r="27" spans="1:6">
      <c r="A27" s="1295" t="s">
        <v>17</v>
      </c>
      <c r="B27" s="335">
        <v>0</v>
      </c>
    </row>
    <row r="28" spans="1:6" s="341" customFormat="1">
      <c r="A28" s="1296" t="s">
        <v>18</v>
      </c>
      <c r="B28" s="1296">
        <v>345178</v>
      </c>
    </row>
    <row r="29" spans="1:6">
      <c r="A29" s="1296" t="s">
        <v>909</v>
      </c>
      <c r="B29" s="1296">
        <v>91</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5109.3906542613004</v>
      </c>
      <c r="E38" s="335">
        <v>3</v>
      </c>
      <c r="F38" s="335">
        <v>9313.3830583290001</v>
      </c>
    </row>
    <row r="39" spans="1:6">
      <c r="A39" s="1295" t="s">
        <v>30</v>
      </c>
      <c r="B39" s="1295" t="s">
        <v>31</v>
      </c>
      <c r="C39" s="335">
        <v>2044</v>
      </c>
      <c r="D39" s="335">
        <v>37872167.410488002</v>
      </c>
      <c r="E39" s="335">
        <v>3418</v>
      </c>
      <c r="F39" s="335">
        <v>14126514.658393599</v>
      </c>
    </row>
    <row r="40" spans="1:6">
      <c r="A40" s="1295" t="s">
        <v>30</v>
      </c>
      <c r="B40" s="1295" t="s">
        <v>29</v>
      </c>
      <c r="C40" s="335">
        <v>0</v>
      </c>
      <c r="D40" s="335">
        <v>0</v>
      </c>
      <c r="E40" s="335">
        <v>2</v>
      </c>
      <c r="F40" s="335">
        <v>6251</v>
      </c>
    </row>
    <row r="41" spans="1:6">
      <c r="A41" s="1295" t="s">
        <v>32</v>
      </c>
      <c r="B41" s="1295" t="s">
        <v>33</v>
      </c>
      <c r="C41" s="335">
        <v>43</v>
      </c>
      <c r="D41" s="335">
        <v>1190786.2630328799</v>
      </c>
      <c r="E41" s="335">
        <v>115</v>
      </c>
      <c r="F41" s="335">
        <v>1929318.21753755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6</v>
      </c>
      <c r="D44" s="335">
        <v>94616.675871682295</v>
      </c>
      <c r="E44" s="335">
        <v>11</v>
      </c>
      <c r="F44" s="335">
        <v>445063.79200434301</v>
      </c>
    </row>
    <row r="45" spans="1:6">
      <c r="A45" s="1295" t="s">
        <v>32</v>
      </c>
      <c r="B45" s="1295" t="s">
        <v>37</v>
      </c>
      <c r="C45" s="335">
        <v>0</v>
      </c>
      <c r="D45" s="335">
        <v>0</v>
      </c>
      <c r="E45" s="335">
        <v>3</v>
      </c>
      <c r="F45" s="335">
        <v>223249.22005139201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35</v>
      </c>
      <c r="D48" s="335">
        <v>56271325.169872202</v>
      </c>
      <c r="E48" s="335">
        <v>48</v>
      </c>
      <c r="F48" s="335">
        <v>80616849.791699797</v>
      </c>
    </row>
    <row r="49" spans="1:6">
      <c r="A49" s="1295" t="s">
        <v>32</v>
      </c>
      <c r="B49" s="1295" t="s">
        <v>40</v>
      </c>
      <c r="C49" s="335">
        <v>3</v>
      </c>
      <c r="D49" s="335">
        <v>68420.1058012414</v>
      </c>
      <c r="E49" s="335">
        <v>3</v>
      </c>
      <c r="F49" s="335">
        <v>185296.63245134201</v>
      </c>
    </row>
    <row r="50" spans="1:6">
      <c r="A50" s="1295" t="s">
        <v>32</v>
      </c>
      <c r="B50" s="1295" t="s">
        <v>41</v>
      </c>
      <c r="C50" s="335">
        <v>8</v>
      </c>
      <c r="D50" s="335">
        <v>54170604.193539202</v>
      </c>
      <c r="E50" s="335">
        <v>12</v>
      </c>
      <c r="F50" s="335">
        <v>124386199.694621</v>
      </c>
    </row>
    <row r="51" spans="1:6">
      <c r="A51" s="1295" t="s">
        <v>42</v>
      </c>
      <c r="B51" s="1295" t="s">
        <v>43</v>
      </c>
      <c r="C51" s="335">
        <v>10</v>
      </c>
      <c r="D51" s="335">
        <v>1263180.03251314</v>
      </c>
      <c r="E51" s="335">
        <v>179</v>
      </c>
      <c r="F51" s="335">
        <v>5556255.1357175801</v>
      </c>
    </row>
    <row r="52" spans="1:6">
      <c r="A52" s="1295" t="s">
        <v>42</v>
      </c>
      <c r="B52" s="1295" t="s">
        <v>29</v>
      </c>
      <c r="C52" s="335">
        <v>5</v>
      </c>
      <c r="D52" s="335">
        <v>22932846.782069098</v>
      </c>
      <c r="E52" s="335">
        <v>21</v>
      </c>
      <c r="F52" s="335">
        <v>1446839.72342543</v>
      </c>
    </row>
    <row r="53" spans="1:6">
      <c r="A53" s="1295" t="s">
        <v>44</v>
      </c>
      <c r="B53" s="1295" t="s">
        <v>45</v>
      </c>
      <c r="C53" s="335">
        <v>46</v>
      </c>
      <c r="D53" s="335">
        <v>846391.65704484703</v>
      </c>
      <c r="E53" s="335">
        <v>108</v>
      </c>
      <c r="F53" s="335">
        <v>459545.887251571</v>
      </c>
    </row>
    <row r="54" spans="1:6">
      <c r="A54" s="1295" t="s">
        <v>46</v>
      </c>
      <c r="B54" s="1295" t="s">
        <v>47</v>
      </c>
      <c r="C54" s="335">
        <v>0</v>
      </c>
      <c r="D54" s="335">
        <v>0</v>
      </c>
      <c r="E54" s="335">
        <v>1</v>
      </c>
      <c r="F54" s="335">
        <v>635394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316797.78072645498</v>
      </c>
      <c r="E57" s="335">
        <v>38</v>
      </c>
      <c r="F57" s="335">
        <v>443205.59665913502</v>
      </c>
    </row>
    <row r="58" spans="1:6">
      <c r="A58" s="1295" t="s">
        <v>49</v>
      </c>
      <c r="B58" s="1295" t="s">
        <v>51</v>
      </c>
      <c r="C58" s="335">
        <v>7</v>
      </c>
      <c r="D58" s="335">
        <v>299972.22343922901</v>
      </c>
      <c r="E58" s="335">
        <v>16</v>
      </c>
      <c r="F58" s="335">
        <v>167998.671310114</v>
      </c>
    </row>
    <row r="59" spans="1:6">
      <c r="A59" s="1295" t="s">
        <v>49</v>
      </c>
      <c r="B59" s="1295" t="s">
        <v>52</v>
      </c>
      <c r="C59" s="335">
        <v>17</v>
      </c>
      <c r="D59" s="335">
        <v>17125632.0097767</v>
      </c>
      <c r="E59" s="335">
        <v>79</v>
      </c>
      <c r="F59" s="335">
        <v>3801722.9497688799</v>
      </c>
    </row>
    <row r="60" spans="1:6">
      <c r="A60" s="1295" t="s">
        <v>49</v>
      </c>
      <c r="B60" s="1295" t="s">
        <v>53</v>
      </c>
      <c r="C60" s="335">
        <v>33</v>
      </c>
      <c r="D60" s="335">
        <v>1252334.71235325</v>
      </c>
      <c r="E60" s="335">
        <v>36</v>
      </c>
      <c r="F60" s="335">
        <v>668481.22608293896</v>
      </c>
    </row>
    <row r="61" spans="1:6">
      <c r="A61" s="1295" t="s">
        <v>49</v>
      </c>
      <c r="B61" s="1295" t="s">
        <v>54</v>
      </c>
      <c r="C61" s="335">
        <v>52</v>
      </c>
      <c r="D61" s="335">
        <v>3799343.0503111202</v>
      </c>
      <c r="E61" s="335">
        <v>136</v>
      </c>
      <c r="F61" s="335">
        <v>1325740.7631306599</v>
      </c>
    </row>
    <row r="62" spans="1:6">
      <c r="A62" s="1295" t="s">
        <v>49</v>
      </c>
      <c r="B62" s="1295" t="s">
        <v>55</v>
      </c>
      <c r="C62" s="335">
        <v>3</v>
      </c>
      <c r="D62" s="335">
        <v>267531.95018773101</v>
      </c>
      <c r="E62" s="335">
        <v>4</v>
      </c>
      <c r="F62" s="335">
        <v>35497.620681528402</v>
      </c>
    </row>
    <row r="63" spans="1:6">
      <c r="A63" s="1295" t="s">
        <v>49</v>
      </c>
      <c r="B63" s="1295" t="s">
        <v>29</v>
      </c>
      <c r="C63" s="335">
        <v>97</v>
      </c>
      <c r="D63" s="335">
        <v>44458476.698959202</v>
      </c>
      <c r="E63" s="335">
        <v>148</v>
      </c>
      <c r="F63" s="335">
        <v>3178665.89534987</v>
      </c>
    </row>
    <row r="64" spans="1:6">
      <c r="A64" s="1295" t="s">
        <v>56</v>
      </c>
      <c r="B64" s="1295" t="s">
        <v>57</v>
      </c>
      <c r="C64" s="335">
        <v>0</v>
      </c>
      <c r="D64" s="335">
        <v>0</v>
      </c>
      <c r="E64" s="335">
        <v>0</v>
      </c>
      <c r="F64" s="335">
        <v>0</v>
      </c>
    </row>
    <row r="65" spans="1:6">
      <c r="A65" s="1295" t="s">
        <v>56</v>
      </c>
      <c r="B65" s="1295" t="s">
        <v>29</v>
      </c>
      <c r="C65" s="335">
        <v>2</v>
      </c>
      <c r="D65" s="335">
        <v>52156.482375373103</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13</v>
      </c>
      <c r="F68" s="335">
        <v>145324.069568487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51209373</v>
      </c>
      <c r="E73" s="335">
        <v>46914260.38166105</v>
      </c>
    </row>
    <row r="74" spans="1:6">
      <c r="A74" s="1295" t="s">
        <v>64</v>
      </c>
      <c r="B74" s="1295" t="s">
        <v>727</v>
      </c>
      <c r="C74" s="1295" t="s">
        <v>728</v>
      </c>
      <c r="D74" s="335">
        <v>5897010.2836238593</v>
      </c>
      <c r="E74" s="335">
        <v>5396476.3861156935</v>
      </c>
    </row>
    <row r="75" spans="1:6">
      <c r="A75" s="1295" t="s">
        <v>65</v>
      </c>
      <c r="B75" s="1295" t="s">
        <v>725</v>
      </c>
      <c r="C75" s="1295" t="s">
        <v>729</v>
      </c>
      <c r="D75" s="335">
        <v>18466750</v>
      </c>
      <c r="E75" s="335">
        <v>16754746.69412311</v>
      </c>
    </row>
    <row r="76" spans="1:6">
      <c r="A76" s="1295" t="s">
        <v>65</v>
      </c>
      <c r="B76" s="1295" t="s">
        <v>727</v>
      </c>
      <c r="C76" s="1295" t="s">
        <v>730</v>
      </c>
      <c r="D76" s="335">
        <v>1857102.2836238591</v>
      </c>
      <c r="E76" s="335">
        <v>1613711.8860316765</v>
      </c>
    </row>
    <row r="77" spans="1:6">
      <c r="A77" s="1295" t="s">
        <v>66</v>
      </c>
      <c r="B77" s="1295" t="s">
        <v>725</v>
      </c>
      <c r="C77" s="1295" t="s">
        <v>731</v>
      </c>
      <c r="D77" s="335">
        <v>74718391</v>
      </c>
      <c r="E77" s="335">
        <v>91713919.120760575</v>
      </c>
    </row>
    <row r="78" spans="1:6">
      <c r="A78" s="1291" t="s">
        <v>66</v>
      </c>
      <c r="B78" s="1291" t="s">
        <v>727</v>
      </c>
      <c r="C78" s="1291" t="s">
        <v>732</v>
      </c>
      <c r="D78" s="1291">
        <v>11870846</v>
      </c>
      <c r="E78" s="1291">
        <v>12925734.770810576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265597.43275228201</v>
      </c>
      <c r="C83" s="335">
        <v>267181.99065829854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2066.491</v>
      </c>
    </row>
    <row r="92" spans="1:6">
      <c r="A92" s="1291" t="s">
        <v>69</v>
      </c>
      <c r="B92" s="338">
        <v>5790.6279999999997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1406</v>
      </c>
    </row>
    <row r="98" spans="1:6">
      <c r="A98" s="1295" t="s">
        <v>72</v>
      </c>
      <c r="B98" s="335">
        <v>0</v>
      </c>
    </row>
    <row r="99" spans="1:6">
      <c r="A99" s="1295" t="s">
        <v>73</v>
      </c>
      <c r="B99" s="335">
        <v>175</v>
      </c>
    </row>
    <row r="100" spans="1:6">
      <c r="A100" s="1295" t="s">
        <v>74</v>
      </c>
      <c r="B100" s="335">
        <v>246</v>
      </c>
    </row>
    <row r="101" spans="1:6">
      <c r="A101" s="1295" t="s">
        <v>75</v>
      </c>
      <c r="B101" s="335">
        <v>105</v>
      </c>
    </row>
    <row r="102" spans="1:6">
      <c r="A102" s="1295" t="s">
        <v>76</v>
      </c>
      <c r="B102" s="335">
        <v>75</v>
      </c>
    </row>
    <row r="103" spans="1:6">
      <c r="A103" s="1295" t="s">
        <v>77</v>
      </c>
      <c r="B103" s="335">
        <v>138</v>
      </c>
    </row>
    <row r="104" spans="1:6">
      <c r="A104" s="1295" t="s">
        <v>78</v>
      </c>
      <c r="B104" s="335">
        <v>1332</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3</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85</v>
      </c>
    </row>
    <row r="130" spans="1:6">
      <c r="A130" s="1295" t="s">
        <v>295</v>
      </c>
      <c r="B130" s="335">
        <v>0</v>
      </c>
    </row>
    <row r="131" spans="1:6">
      <c r="A131" s="1295" t="s">
        <v>296</v>
      </c>
      <c r="B131" s="335">
        <v>2</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243021.96598638094</v>
      </c>
      <c r="C3" s="43" t="s">
        <v>170</v>
      </c>
      <c r="D3" s="43"/>
      <c r="E3" s="156"/>
      <c r="F3" s="43"/>
      <c r="G3" s="43"/>
      <c r="H3" s="43"/>
      <c r="I3" s="43"/>
      <c r="J3" s="43"/>
      <c r="K3" s="96"/>
    </row>
    <row r="4" spans="1:11">
      <c r="A4" s="366" t="s">
        <v>171</v>
      </c>
      <c r="B4" s="49">
        <f>IF(ISERROR('SEAP template'!B78+'SEAP template'!C78),0,'SEAP template'!B78+'SEAP template'!C78)</f>
        <v>33516.118999999999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5864.3867647058823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0.21465211482825147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8377.6953781512602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36655.714285714283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0.22855086966389504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635.39400000000001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635.39400000000001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0.21465211482825147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136.38866584918202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14132.765658393599</v>
      </c>
      <c r="C5" s="17">
        <f>IF(ISERROR('Eigen informatie GS &amp; warmtenet'!B57),0,'Eigen informatie GS &amp; warmtenet'!B57)</f>
        <v>0</v>
      </c>
      <c r="D5" s="30">
        <f>(SUM(HH_hh_gas_kWh,HH_rest_gas_kWh)/1000)*0.902</f>
        <v>34160.695004260175</v>
      </c>
      <c r="E5" s="17">
        <f>B46*B57</f>
        <v>5837.3299712884955</v>
      </c>
      <c r="F5" s="17">
        <f>B51*B62</f>
        <v>19162.39714281428</v>
      </c>
      <c r="G5" s="18"/>
      <c r="H5" s="17"/>
      <c r="I5" s="17"/>
      <c r="J5" s="17">
        <f>B50*B61+C50*C61</f>
        <v>3018.6841315348602</v>
      </c>
      <c r="K5" s="17"/>
      <c r="L5" s="17"/>
      <c r="M5" s="17"/>
      <c r="N5" s="17">
        <f>B48*B59+C48*C59</f>
        <v>13130.235669006606</v>
      </c>
      <c r="O5" s="17">
        <f>B69*B70*B71</f>
        <v>140.70000000000002</v>
      </c>
      <c r="P5" s="17">
        <f>B77*B78*B79/1000-B77*B78*B79/1000/B80</f>
        <v>247.86666666666667</v>
      </c>
    </row>
    <row r="6" spans="1:16">
      <c r="A6" s="16" t="s">
        <v>634</v>
      </c>
      <c r="B6" s="783">
        <f>kWh_PV_kleiner_dan_10kW</f>
        <v>2066.491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16199.256658393599</v>
      </c>
      <c r="C8" s="21">
        <f>C5</f>
        <v>0</v>
      </c>
      <c r="D8" s="21">
        <f>D5</f>
        <v>34160.695004260175</v>
      </c>
      <c r="E8" s="21">
        <f>E5</f>
        <v>5837.3299712884955</v>
      </c>
      <c r="F8" s="21">
        <f>F5</f>
        <v>19162.39714281428</v>
      </c>
      <c r="G8" s="21"/>
      <c r="H8" s="21"/>
      <c r="I8" s="21"/>
      <c r="J8" s="21">
        <f>J5</f>
        <v>3018.6841315348602</v>
      </c>
      <c r="K8" s="21"/>
      <c r="L8" s="21">
        <f>L5</f>
        <v>0</v>
      </c>
      <c r="M8" s="21">
        <f>M5</f>
        <v>0</v>
      </c>
      <c r="N8" s="21">
        <f>N5</f>
        <v>13130.235669006606</v>
      </c>
      <c r="O8" s="21">
        <f>O5</f>
        <v>140.70000000000002</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0.21465211482825147</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3477.2047003698199</v>
      </c>
      <c r="C12" s="23">
        <f ca="1">C10*C8</f>
        <v>0</v>
      </c>
      <c r="D12" s="23">
        <f>D8*D10</f>
        <v>6900.4603908605559</v>
      </c>
      <c r="E12" s="23">
        <f>E10*E8</f>
        <v>1325.0739034824885</v>
      </c>
      <c r="F12" s="23">
        <f>F10*F8</f>
        <v>5116.3600371314133</v>
      </c>
      <c r="G12" s="23"/>
      <c r="H12" s="23"/>
      <c r="I12" s="23"/>
      <c r="J12" s="23">
        <f>J10*J8</f>
        <v>1068.6141825633404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1406</v>
      </c>
      <c r="C18" s="168" t="s">
        <v>111</v>
      </c>
      <c r="D18" s="230"/>
      <c r="E18" s="15"/>
    </row>
    <row r="19" spans="1:7">
      <c r="A19" s="173" t="s">
        <v>72</v>
      </c>
      <c r="B19" s="37">
        <f>aantalw2001_ander</f>
        <v>0</v>
      </c>
      <c r="C19" s="168" t="s">
        <v>111</v>
      </c>
      <c r="D19" s="231"/>
      <c r="E19" s="15"/>
    </row>
    <row r="20" spans="1:7">
      <c r="A20" s="173" t="s">
        <v>73</v>
      </c>
      <c r="B20" s="37">
        <f>aantalw2001_propaan</f>
        <v>175</v>
      </c>
      <c r="C20" s="169">
        <f>IF(ISERROR(B20/SUM($B$20,$B$21,$B$22)*100),0,B20/SUM($B$20,$B$21,$B$22)*100)</f>
        <v>33.269961977186313</v>
      </c>
      <c r="D20" s="231"/>
      <c r="E20" s="15"/>
    </row>
    <row r="21" spans="1:7">
      <c r="A21" s="173" t="s">
        <v>74</v>
      </c>
      <c r="B21" s="37">
        <f>aantalw2001_elektriciteit</f>
        <v>246</v>
      </c>
      <c r="C21" s="169">
        <f>IF(ISERROR(B21/SUM($B$20,$B$21,$B$22)*100),0,B21/SUM($B$20,$B$21,$B$22)*100)</f>
        <v>46.768060836501903</v>
      </c>
      <c r="D21" s="231"/>
      <c r="E21" s="15"/>
    </row>
    <row r="22" spans="1:7">
      <c r="A22" s="173" t="s">
        <v>75</v>
      </c>
      <c r="B22" s="37">
        <f>aantalw2001_hout</f>
        <v>105</v>
      </c>
      <c r="C22" s="169">
        <f>IF(ISERROR(B22/SUM($B$20,$B$21,$B$22)*100),0,B22/SUM($B$20,$B$21,$B$22)*100)</f>
        <v>19.961977186311788</v>
      </c>
      <c r="D22" s="231"/>
      <c r="E22" s="15"/>
    </row>
    <row r="23" spans="1:7">
      <c r="A23" s="173" t="s">
        <v>76</v>
      </c>
      <c r="B23" s="37">
        <f>aantalw2001_niet_gespec</f>
        <v>75</v>
      </c>
      <c r="C23" s="168" t="s">
        <v>111</v>
      </c>
      <c r="D23" s="230"/>
      <c r="E23" s="15"/>
    </row>
    <row r="24" spans="1:7">
      <c r="A24" s="173" t="s">
        <v>77</v>
      </c>
      <c r="B24" s="37">
        <f>aantalw2001_steenkool</f>
        <v>138</v>
      </c>
      <c r="C24" s="168" t="s">
        <v>111</v>
      </c>
      <c r="D24" s="231"/>
      <c r="E24" s="15"/>
    </row>
    <row r="25" spans="1:7">
      <c r="A25" s="173" t="s">
        <v>78</v>
      </c>
      <c r="B25" s="37">
        <f>aantalw2001_stookolie</f>
        <v>1332</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3731</v>
      </c>
      <c r="C28" s="36"/>
      <c r="D28" s="230"/>
    </row>
    <row r="29" spans="1:7" s="15" customFormat="1">
      <c r="A29" s="232" t="s">
        <v>746</v>
      </c>
      <c r="B29" s="37">
        <f>SUM(HH_hh_gas_aantal,HH_rest_gas_aantal)</f>
        <v>2044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2044</v>
      </c>
      <c r="C32" s="169">
        <f>IF(ISERROR(B32/SUM($B$32,$B$34,$B$35,$B$36,$B$38,$B$39)*100),0,B32/SUM($B$32,$B$34,$B$35,$B$36,$B$38,$B$39)*100)</f>
        <v>54.975793437331902</v>
      </c>
      <c r="D32" s="235"/>
      <c r="G32" s="15"/>
    </row>
    <row r="33" spans="1:7">
      <c r="A33" s="173" t="s">
        <v>72</v>
      </c>
      <c r="B33" s="34" t="s">
        <v>111</v>
      </c>
      <c r="C33" s="169"/>
      <c r="D33" s="235"/>
      <c r="G33" s="15"/>
    </row>
    <row r="34" spans="1:7">
      <c r="A34" s="173" t="s">
        <v>73</v>
      </c>
      <c r="B34" s="33">
        <f>IF((($B$28-$B$32-$B$39-$B$77-$B$38)*C20/100)&lt;0,0,($B$28-$B$32-$B$39-$B$77-$B$38)*C20/100)</f>
        <v>280.13307984790873</v>
      </c>
      <c r="C34" s="169">
        <f>IF(ISERROR(B34/SUM($B$32,$B$34,$B$35,$B$36,$B$38,$B$39)*100),0,B34/SUM($B$32,$B$34,$B$35,$B$36,$B$38,$B$39)*100)</f>
        <v>7.5345099474961996</v>
      </c>
      <c r="D34" s="235"/>
      <c r="G34" s="15"/>
    </row>
    <row r="35" spans="1:7">
      <c r="A35" s="173" t="s">
        <v>74</v>
      </c>
      <c r="B35" s="33">
        <f>IF((($B$28-$B$32-$B$39-$B$77-$B$38)*C21/100)&lt;0,0,($B$28-$B$32-$B$39-$B$77-$B$38)*C21/100)</f>
        <v>393.78707224334607</v>
      </c>
      <c r="C35" s="169">
        <f>IF(ISERROR(B35/SUM($B$32,$B$34,$B$35,$B$36,$B$38,$B$39)*100),0,B35/SUM($B$32,$B$34,$B$35,$B$36,$B$38,$B$39)*100)</f>
        <v>10.591368269051804</v>
      </c>
      <c r="D35" s="235"/>
      <c r="G35" s="15"/>
    </row>
    <row r="36" spans="1:7">
      <c r="A36" s="173" t="s">
        <v>75</v>
      </c>
      <c r="B36" s="33">
        <f>IF((($B$28-$B$32-$B$39-$B$77-$B$38)*C22/100)&lt;0,0,($B$28-$B$32-$B$39-$B$77-$B$38)*C22/100)</f>
        <v>168.07984790874525</v>
      </c>
      <c r="C36" s="169">
        <f>IF(ISERROR(B36/SUM($B$32,$B$34,$B$35,$B$36,$B$38,$B$39)*100),0,B36/SUM($B$32,$B$34,$B$35,$B$36,$B$38,$B$39)*100)</f>
        <v>4.5207059684977207</v>
      </c>
      <c r="D36" s="235"/>
      <c r="G36" s="15"/>
    </row>
    <row r="37" spans="1:7">
      <c r="A37" s="173" t="s">
        <v>76</v>
      </c>
      <c r="B37" s="34" t="s">
        <v>111</v>
      </c>
      <c r="C37" s="169"/>
      <c r="D37" s="175"/>
      <c r="G37" s="15"/>
    </row>
    <row r="38" spans="1:7">
      <c r="A38" s="173" t="s">
        <v>77</v>
      </c>
      <c r="B38" s="33">
        <f>IF((B24-(B29-B18)*0.1)&lt;0,0,B24-(B29-B18)*0.1)</f>
        <v>74.199999999999989</v>
      </c>
      <c r="C38" s="169">
        <f>IF(ISERROR(B38/SUM($B$32,$B$34,$B$35,$B$36,$B$38,$B$39)*100),0,B38/SUM($B$32,$B$34,$B$35,$B$36,$B$38,$B$39)*100)</f>
        <v>1.9956966110812262</v>
      </c>
      <c r="D38" s="236"/>
      <c r="G38" s="15"/>
    </row>
    <row r="39" spans="1:7">
      <c r="A39" s="173" t="s">
        <v>78</v>
      </c>
      <c r="B39" s="33">
        <f>IF((B25-(B29-B18))&lt;0,0,B25-(B29-B18)*0.9)</f>
        <v>757.8</v>
      </c>
      <c r="C39" s="169">
        <f>IF(ISERROR(B39/SUM($B$32,$B$34,$B$35,$B$36,$B$38,$B$39)*100),0,B39/SUM($B$32,$B$34,$B$35,$B$36,$B$38,$B$39)*100)</f>
        <v>20.381925766541151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2044</v>
      </c>
      <c r="C44" s="34" t="s">
        <v>111</v>
      </c>
      <c r="D44" s="176"/>
    </row>
    <row r="45" spans="1:7">
      <c r="A45" s="173" t="s">
        <v>72</v>
      </c>
      <c r="B45" s="33" t="str">
        <f t="shared" si="0"/>
        <v>-</v>
      </c>
      <c r="C45" s="34" t="s">
        <v>111</v>
      </c>
      <c r="D45" s="176"/>
    </row>
    <row r="46" spans="1:7">
      <c r="A46" s="173" t="s">
        <v>73</v>
      </c>
      <c r="B46" s="33">
        <f t="shared" si="0"/>
        <v>280.13307984790873</v>
      </c>
      <c r="C46" s="34" t="s">
        <v>111</v>
      </c>
      <c r="D46" s="176"/>
    </row>
    <row r="47" spans="1:7">
      <c r="A47" s="173" t="s">
        <v>74</v>
      </c>
      <c r="B47" s="33">
        <f t="shared" si="0"/>
        <v>393.78707224334607</v>
      </c>
      <c r="C47" s="34" t="s">
        <v>111</v>
      </c>
      <c r="D47" s="176"/>
    </row>
    <row r="48" spans="1:7">
      <c r="A48" s="173" t="s">
        <v>75</v>
      </c>
      <c r="B48" s="33">
        <f t="shared" si="0"/>
        <v>168.07984790874525</v>
      </c>
      <c r="C48" s="33">
        <f>B48*10</f>
        <v>1680.7984790874525</v>
      </c>
      <c r="D48" s="236"/>
    </row>
    <row r="49" spans="1:6">
      <c r="A49" s="173" t="s">
        <v>76</v>
      </c>
      <c r="B49" s="33" t="str">
        <f t="shared" si="0"/>
        <v>-</v>
      </c>
      <c r="C49" s="34" t="s">
        <v>111</v>
      </c>
      <c r="D49" s="236"/>
    </row>
    <row r="50" spans="1:6">
      <c r="A50" s="173" t="s">
        <v>77</v>
      </c>
      <c r="B50" s="33">
        <f t="shared" si="0"/>
        <v>74.199999999999989</v>
      </c>
      <c r="C50" s="33">
        <f>B50*2</f>
        <v>148.39999999999998</v>
      </c>
      <c r="D50" s="236"/>
    </row>
    <row r="51" spans="1:6">
      <c r="A51" s="173" t="s">
        <v>78</v>
      </c>
      <c r="B51" s="33">
        <f t="shared" si="0"/>
        <v>757.8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9621.3127229831262</v>
      </c>
      <c r="C5" s="17">
        <f>IF(ISERROR('Eigen informatie GS &amp; warmtenet'!B58),0,'Eigen informatie GS &amp; warmtenet'!B58)</f>
        <v>0</v>
      </c>
      <c r="D5" s="30">
        <f>SUM(D6:D12)</f>
        <v>60903.119760029833</v>
      </c>
      <c r="E5" s="17">
        <f>SUM(E6:E12)</f>
        <v>138.40850240770072</v>
      </c>
      <c r="F5" s="17">
        <f>SUM(F6:F12)</f>
        <v>1856.5474774265822</v>
      </c>
      <c r="G5" s="18"/>
      <c r="H5" s="17"/>
      <c r="I5" s="17"/>
      <c r="J5" s="17">
        <f>SUM(J6:J12)</f>
        <v>0</v>
      </c>
      <c r="K5" s="17"/>
      <c r="L5" s="17"/>
      <c r="M5" s="17"/>
      <c r="N5" s="17">
        <f>SUM(N6:N12)</f>
        <v>574.85865382399288</v>
      </c>
      <c r="O5" s="17">
        <f>B38*B39*B40</f>
        <v>0</v>
      </c>
      <c r="P5" s="17">
        <f>B46*B47*B48/1000-B46*B47*B48/1000/B49</f>
        <v>38.133333333333333</v>
      </c>
      <c r="R5" s="32"/>
    </row>
    <row r="6" spans="1:18">
      <c r="A6" s="32" t="s">
        <v>54</v>
      </c>
      <c r="B6" s="37">
        <f>B26</f>
        <v>1325.7407631306598</v>
      </c>
      <c r="C6" s="33"/>
      <c r="D6" s="37">
        <f>IF(ISERROR(TER_kantoor_gas_kWh/1000),0,TER_kantoor_gas_kWh/1000)*0.902</f>
        <v>3427.0074313806308</v>
      </c>
      <c r="E6" s="33">
        <f>$C$26*'E Balans VL '!I12/100/3.6*1000000</f>
        <v>5.1507835404356932</v>
      </c>
      <c r="F6" s="33">
        <f>$C$26*('E Balans VL '!L12+'E Balans VL '!N12)/100/3.6*1000000</f>
        <v>201.63310679299695</v>
      </c>
      <c r="G6" s="34"/>
      <c r="H6" s="33"/>
      <c r="I6" s="33"/>
      <c r="J6" s="33">
        <f>$C$26*('E Balans VL '!D12+'E Balans VL '!E12)/100/3.6*1000000</f>
        <v>0</v>
      </c>
      <c r="K6" s="33"/>
      <c r="L6" s="33"/>
      <c r="M6" s="33"/>
      <c r="N6" s="33">
        <f>$C$26*'E Balans VL '!Y12/100/3.6*1000000</f>
        <v>0.73064198031716965</v>
      </c>
      <c r="O6" s="33"/>
      <c r="P6" s="33"/>
      <c r="R6" s="32"/>
    </row>
    <row r="7" spans="1:18">
      <c r="A7" s="32" t="s">
        <v>53</v>
      </c>
      <c r="B7" s="37">
        <f t="shared" ref="B7:B12" si="0">B27</f>
        <v>668.48122608293897</v>
      </c>
      <c r="C7" s="33"/>
      <c r="D7" s="37">
        <f>IF(ISERROR(TER_horeca_gas_kWh/1000),0,TER_horeca_gas_kWh/1000)*0.902</f>
        <v>1129.6059105426316</v>
      </c>
      <c r="E7" s="33">
        <f>$C$27*'E Balans VL '!I9/100/3.6*1000000</f>
        <v>37.655726187520649</v>
      </c>
      <c r="F7" s="33">
        <f>$C$27*('E Balans VL '!L9+'E Balans VL '!N9)/100/3.6*1000000</f>
        <v>192.74996444830569</v>
      </c>
      <c r="G7" s="34"/>
      <c r="H7" s="33"/>
      <c r="I7" s="33"/>
      <c r="J7" s="33">
        <f>$C$27*('E Balans VL '!D9+'E Balans VL '!E9)/100/3.6*1000000</f>
        <v>0</v>
      </c>
      <c r="K7" s="33"/>
      <c r="L7" s="33"/>
      <c r="M7" s="33"/>
      <c r="N7" s="33">
        <f>$C$27*'E Balans VL '!Y9/100/3.6*1000000</f>
        <v>0.18456419276621372</v>
      </c>
      <c r="O7" s="33"/>
      <c r="P7" s="33"/>
      <c r="R7" s="32"/>
    </row>
    <row r="8" spans="1:18">
      <c r="A8" s="6" t="s">
        <v>52</v>
      </c>
      <c r="B8" s="37">
        <f t="shared" si="0"/>
        <v>3801.72294976888</v>
      </c>
      <c r="C8" s="33"/>
      <c r="D8" s="37">
        <f>IF(ISERROR(TER_handel_gas_kWh/1000),0,TER_handel_gas_kWh/1000)*0.902</f>
        <v>15447.320072818586</v>
      </c>
      <c r="E8" s="33">
        <f>$C$28*'E Balans VL '!I13/100/3.6*1000000</f>
        <v>54.795725669104549</v>
      </c>
      <c r="F8" s="33">
        <f>$C$28*('E Balans VL '!L13+'E Balans VL '!N13)/100/3.6*1000000</f>
        <v>660.44781252803671</v>
      </c>
      <c r="G8" s="34"/>
      <c r="H8" s="33"/>
      <c r="I8" s="33"/>
      <c r="J8" s="33">
        <f>$C$28*('E Balans VL '!D13+'E Balans VL '!E13)/100/3.6*1000000</f>
        <v>0</v>
      </c>
      <c r="K8" s="33"/>
      <c r="L8" s="33"/>
      <c r="M8" s="33"/>
      <c r="N8" s="33">
        <f>$C$28*'E Balans VL '!Y13/100/3.6*1000000</f>
        <v>11.39038517402466</v>
      </c>
      <c r="O8" s="33"/>
      <c r="P8" s="33"/>
      <c r="R8" s="32"/>
    </row>
    <row r="9" spans="1:18">
      <c r="A9" s="32" t="s">
        <v>51</v>
      </c>
      <c r="B9" s="37">
        <f t="shared" si="0"/>
        <v>167.99867131011399</v>
      </c>
      <c r="C9" s="33"/>
      <c r="D9" s="37">
        <f>IF(ISERROR(TER_gezond_gas_kWh/1000),0,TER_gezond_gas_kWh/1000)*0.902</f>
        <v>270.57494554218459</v>
      </c>
      <c r="E9" s="33">
        <f>$C$29*'E Balans VL '!I10/100/3.6*1000000</f>
        <v>0.17946612461571521</v>
      </c>
      <c r="F9" s="33">
        <f>$C$29*('E Balans VL '!L10+'E Balans VL '!N10)/100/3.6*1000000</f>
        <v>27.405688961892242</v>
      </c>
      <c r="G9" s="34"/>
      <c r="H9" s="33"/>
      <c r="I9" s="33"/>
      <c r="J9" s="33">
        <f>$C$29*('E Balans VL '!D10+'E Balans VL '!E10)/100/3.6*1000000</f>
        <v>0</v>
      </c>
      <c r="K9" s="33"/>
      <c r="L9" s="33"/>
      <c r="M9" s="33"/>
      <c r="N9" s="33">
        <f>$C$29*'E Balans VL '!Y10/100/3.6*1000000</f>
        <v>1.7294504630081731</v>
      </c>
      <c r="O9" s="33"/>
      <c r="P9" s="33"/>
      <c r="R9" s="32"/>
    </row>
    <row r="10" spans="1:18">
      <c r="A10" s="32" t="s">
        <v>50</v>
      </c>
      <c r="B10" s="37">
        <f t="shared" si="0"/>
        <v>443.20559665913504</v>
      </c>
      <c r="C10" s="33"/>
      <c r="D10" s="37">
        <f>IF(ISERROR(TER_ander_gas_kWh/1000),0,TER_ander_gas_kWh/1000)*0.902</f>
        <v>285.75159821526239</v>
      </c>
      <c r="E10" s="33">
        <f>$C$30*'E Balans VL '!I14/100/3.6*1000000</f>
        <v>2.0382351224595325</v>
      </c>
      <c r="F10" s="33">
        <f>$C$30*('E Balans VL '!L14+'E Balans VL '!N14)/100/3.6*1000000</f>
        <v>132.84269727975649</v>
      </c>
      <c r="G10" s="34"/>
      <c r="H10" s="33"/>
      <c r="I10" s="33"/>
      <c r="J10" s="33">
        <f>$C$30*('E Balans VL '!D14+'E Balans VL '!E14)/100/3.6*1000000</f>
        <v>0</v>
      </c>
      <c r="K10" s="33"/>
      <c r="L10" s="33"/>
      <c r="M10" s="33"/>
      <c r="N10" s="33">
        <f>$C$30*'E Balans VL '!Y14/100/3.6*1000000</f>
        <v>308.50035161687919</v>
      </c>
      <c r="O10" s="33"/>
      <c r="P10" s="33"/>
      <c r="R10" s="32"/>
    </row>
    <row r="11" spans="1:18">
      <c r="A11" s="32" t="s">
        <v>55</v>
      </c>
      <c r="B11" s="37">
        <f t="shared" si="0"/>
        <v>35.497620681528403</v>
      </c>
      <c r="C11" s="33"/>
      <c r="D11" s="37">
        <f>IF(ISERROR(TER_onderwijs_gas_kWh/1000),0,TER_onderwijs_gas_kWh/1000)*0.902</f>
        <v>241.31381906933339</v>
      </c>
      <c r="E11" s="33">
        <f>$C$31*'E Balans VL '!I11/100/3.6*1000000</f>
        <v>3.2928711430843256E-2</v>
      </c>
      <c r="F11" s="33">
        <f>$C$31*('E Balans VL '!L11+'E Balans VL '!N11)/100/3.6*1000000</f>
        <v>12.469498291266381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3178.66589534987</v>
      </c>
      <c r="C12" s="33"/>
      <c r="D12" s="37">
        <f>IF(ISERROR(TER_rest_gas_kWh/1000),0,TER_rest_gas_kWh/1000)*0.902</f>
        <v>40101.545982461204</v>
      </c>
      <c r="E12" s="33">
        <f>$C$32*'E Balans VL '!I8/100/3.6*1000000</f>
        <v>38.555637052133754</v>
      </c>
      <c r="F12" s="33">
        <f>$C$32*('E Balans VL '!L8+'E Balans VL '!N8)/100/3.6*1000000</f>
        <v>628.99870912432755</v>
      </c>
      <c r="G12" s="34"/>
      <c r="H12" s="33"/>
      <c r="I12" s="33"/>
      <c r="J12" s="33">
        <f>$C$32*('E Balans VL '!D8+'E Balans VL '!E8)/100/3.6*1000000</f>
        <v>0</v>
      </c>
      <c r="K12" s="33"/>
      <c r="L12" s="33"/>
      <c r="M12" s="33"/>
      <c r="N12" s="33">
        <f>$C$32*'E Balans VL '!Y8/100/3.6*1000000</f>
        <v>252.32326039699751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9621.3127229831262</v>
      </c>
      <c r="C16" s="21">
        <f t="shared" ca="1" si="1"/>
        <v>0</v>
      </c>
      <c r="D16" s="21">
        <f t="shared" ca="1" si="1"/>
        <v>60903.119760029833</v>
      </c>
      <c r="E16" s="21">
        <f t="shared" si="1"/>
        <v>138.40850240770072</v>
      </c>
      <c r="F16" s="21">
        <f t="shared" ca="1" si="1"/>
        <v>1856.5474774265822</v>
      </c>
      <c r="G16" s="21">
        <f t="shared" si="1"/>
        <v>0</v>
      </c>
      <c r="H16" s="21">
        <f t="shared" si="1"/>
        <v>0</v>
      </c>
      <c r="I16" s="21">
        <f t="shared" si="1"/>
        <v>0</v>
      </c>
      <c r="J16" s="21">
        <f t="shared" si="1"/>
        <v>0</v>
      </c>
      <c r="K16" s="21">
        <f t="shared" si="1"/>
        <v>0</v>
      </c>
      <c r="L16" s="21">
        <f t="shared" ca="1" si="1"/>
        <v>0</v>
      </c>
      <c r="M16" s="21">
        <f t="shared" si="1"/>
        <v>0</v>
      </c>
      <c r="N16" s="21">
        <f t="shared" ca="1" si="1"/>
        <v>574.85865382399288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0.21465211482825147</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2065.2351234122907</v>
      </c>
      <c r="C20" s="23">
        <f t="shared" ref="C20:P20" ca="1" si="2">C16*C18</f>
        <v>0</v>
      </c>
      <c r="D20" s="23">
        <f t="shared" ca="1" si="2"/>
        <v>12302.430191526028</v>
      </c>
      <c r="E20" s="23">
        <f t="shared" si="2"/>
        <v>31.418730046548067</v>
      </c>
      <c r="F20" s="23">
        <f t="shared" ca="1" si="2"/>
        <v>495.6981764728975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1325.7407631306598</v>
      </c>
      <c r="C26" s="39">
        <f>IF(ISERROR(B26*3.6/1000000/'E Balans VL '!Z12*100),0,B26*3.6/1000000/'E Balans VL '!Z12*100)</f>
        <v>2.8159390495501181E-2</v>
      </c>
      <c r="D26" s="239" t="s">
        <v>692</v>
      </c>
      <c r="F26" s="6"/>
    </row>
    <row r="27" spans="1:18">
      <c r="A27" s="233" t="s">
        <v>53</v>
      </c>
      <c r="B27" s="33">
        <f>IF(ISERROR(TER_horeca_ele_kWh/1000),0,TER_horeca_ele_kWh/1000)</f>
        <v>668.48122608293897</v>
      </c>
      <c r="C27" s="39">
        <f>IF(ISERROR(B27*3.6/1000000/'E Balans VL '!Z9*100),0,B27*3.6/1000000/'E Balans VL '!Z9*100)</f>
        <v>5.1978486430954603E-2</v>
      </c>
      <c r="D27" s="239" t="s">
        <v>692</v>
      </c>
      <c r="F27" s="6"/>
    </row>
    <row r="28" spans="1:18">
      <c r="A28" s="173" t="s">
        <v>52</v>
      </c>
      <c r="B28" s="33">
        <f>IF(ISERROR(TER_handel_ele_kWh/1000),0,TER_handel_ele_kWh/1000)</f>
        <v>3801.72294976888</v>
      </c>
      <c r="C28" s="39">
        <f>IF(ISERROR(B28*3.6/1000000/'E Balans VL '!Z13*100),0,B28*3.6/1000000/'E Balans VL '!Z13*100)</f>
        <v>0.10877176777322456</v>
      </c>
      <c r="D28" s="239" t="s">
        <v>692</v>
      </c>
      <c r="F28" s="6"/>
    </row>
    <row r="29" spans="1:18">
      <c r="A29" s="233" t="s">
        <v>51</v>
      </c>
      <c r="B29" s="33">
        <f>IF(ISERROR(TER_gezond_ele_kWh/1000),0,TER_gezond_ele_kWh/1000)</f>
        <v>167.99867131011399</v>
      </c>
      <c r="C29" s="39">
        <f>IF(ISERROR(B29*3.6/1000000/'E Balans VL '!Z10*100),0,B29*3.6/1000000/'E Balans VL '!Z10*100)</f>
        <v>1.83157589937313E-2</v>
      </c>
      <c r="D29" s="239" t="s">
        <v>692</v>
      </c>
      <c r="F29" s="6"/>
    </row>
    <row r="30" spans="1:18">
      <c r="A30" s="233" t="s">
        <v>50</v>
      </c>
      <c r="B30" s="33">
        <f>IF(ISERROR(TER_ander_ele_kWh/1000),0,TER_ander_ele_kWh/1000)</f>
        <v>443.20559665913504</v>
      </c>
      <c r="C30" s="39">
        <f>IF(ISERROR(B30*3.6/1000000/'E Balans VL '!Z14*100),0,B30*3.6/1000000/'E Balans VL '!Z14*100)</f>
        <v>3.2432780175452654E-2</v>
      </c>
      <c r="D30" s="239" t="s">
        <v>692</v>
      </c>
      <c r="F30" s="6"/>
    </row>
    <row r="31" spans="1:18">
      <c r="A31" s="233" t="s">
        <v>55</v>
      </c>
      <c r="B31" s="33">
        <f>IF(ISERROR(TER_onderwijs_ele_kWh/1000),0,TER_onderwijs_ele_kWh/1000)</f>
        <v>35.497620681528403</v>
      </c>
      <c r="C31" s="39">
        <f>IF(ISERROR(B31*3.6/1000000/'E Balans VL '!Z11*100),0,B31*3.6/1000000/'E Balans VL '!Z11*100)</f>
        <v>7.129723473691227E-3</v>
      </c>
      <c r="D31" s="239" t="s">
        <v>692</v>
      </c>
    </row>
    <row r="32" spans="1:18">
      <c r="A32" s="233" t="s">
        <v>260</v>
      </c>
      <c r="B32" s="33">
        <f>IF(ISERROR(TER_rest_ele_kWh/1000),0,TER_rest_ele_kWh/1000)</f>
        <v>3178.66589534987</v>
      </c>
      <c r="C32" s="39">
        <f>IF(ISERROR(B32*3.6/1000000/'E Balans VL '!Z8*100),0,B32*3.6/1000000/'E Balans VL '!Z8*100)</f>
        <v>2.5904198012782233E-2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207785.97734836541</v>
      </c>
      <c r="C5" s="17">
        <f>IF(ISERROR('Eigen informatie GS &amp; warmtenet'!B59),0,'Eigen informatie GS &amp; warmtenet'!B59)</f>
        <v>0</v>
      </c>
      <c r="D5" s="30">
        <f>SUM(D6:D15)</f>
        <v>100839.76867212172</v>
      </c>
      <c r="E5" s="17">
        <f>SUM(E6:E15)</f>
        <v>15179.469042808461</v>
      </c>
      <c r="F5" s="17">
        <f>SUM(F6:F15)</f>
        <v>205912.78869162878</v>
      </c>
      <c r="G5" s="18"/>
      <c r="H5" s="17"/>
      <c r="I5" s="17"/>
      <c r="J5" s="17">
        <f>SUM(J6:J15)</f>
        <v>209.49938533407641</v>
      </c>
      <c r="K5" s="17"/>
      <c r="L5" s="17"/>
      <c r="M5" s="17"/>
      <c r="N5" s="17">
        <f>SUM(N6:N15)</f>
        <v>53004.421550182364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445.06379200434299</v>
      </c>
      <c r="C8" s="33"/>
      <c r="D8" s="37">
        <f>IF( ISERROR(IND_metaal_Gas_kWH/1000),0,IND_metaal_Gas_kWH/1000)*0.902</f>
        <v>85.344241636257422</v>
      </c>
      <c r="E8" s="33">
        <f>C30*'E Balans VL '!I18/100/3.6*1000000</f>
        <v>12.783902670897467</v>
      </c>
      <c r="F8" s="33">
        <f>C30*'E Balans VL '!L18/100/3.6*1000000+C30*'E Balans VL '!N18/100/3.6*1000000</f>
        <v>114.1503028422529</v>
      </c>
      <c r="G8" s="34"/>
      <c r="H8" s="33"/>
      <c r="I8" s="33"/>
      <c r="J8" s="40">
        <f>C30*'E Balans VL '!D18/100/3.6*1000000+C30*'E Balans VL '!E18/100/3.6*1000000</f>
        <v>0</v>
      </c>
      <c r="K8" s="33"/>
      <c r="L8" s="33"/>
      <c r="M8" s="33"/>
      <c r="N8" s="33">
        <f>C30*'E Balans VL '!Y18/100/3.6*1000000</f>
        <v>12.084390456832161</v>
      </c>
      <c r="O8" s="33"/>
      <c r="P8" s="33"/>
      <c r="R8" s="32"/>
    </row>
    <row r="9" spans="1:18">
      <c r="A9" s="6" t="s">
        <v>33</v>
      </c>
      <c r="B9" s="37">
        <f t="shared" si="0"/>
        <v>1929.31821753755</v>
      </c>
      <c r="C9" s="33"/>
      <c r="D9" s="37">
        <f>IF( ISERROR(IND_andere_gas_kWh/1000),0,IND_andere_gas_kWh/1000)*0.902</f>
        <v>1074.0892092556578</v>
      </c>
      <c r="E9" s="33">
        <f>C31*'E Balans VL '!I19/100/3.6*1000000</f>
        <v>522.21900526236743</v>
      </c>
      <c r="F9" s="33">
        <f>C31*'E Balans VL '!L19/100/3.6*1000000+C31*'E Balans VL '!N19/100/3.6*1000000</f>
        <v>1285.1300973954005</v>
      </c>
      <c r="G9" s="34"/>
      <c r="H9" s="33"/>
      <c r="I9" s="33"/>
      <c r="J9" s="40">
        <f>C31*'E Balans VL '!D19/100/3.6*1000000+C31*'E Balans VL '!E19/100/3.6*1000000</f>
        <v>0</v>
      </c>
      <c r="K9" s="33"/>
      <c r="L9" s="33"/>
      <c r="M9" s="33"/>
      <c r="N9" s="33">
        <f>C31*'E Balans VL '!Y19/100/3.6*1000000</f>
        <v>629.89034930669368</v>
      </c>
      <c r="O9" s="33"/>
      <c r="P9" s="33"/>
      <c r="R9" s="32"/>
    </row>
    <row r="10" spans="1:18">
      <c r="A10" s="6" t="s">
        <v>41</v>
      </c>
      <c r="B10" s="37">
        <f t="shared" si="0"/>
        <v>124386.199694621</v>
      </c>
      <c r="C10" s="33"/>
      <c r="D10" s="37">
        <f>IF( ISERROR(IND_voed_gas_kWh/1000),0,IND_voed_gas_kWh/1000)*0.902</f>
        <v>48861.884982572359</v>
      </c>
      <c r="E10" s="33">
        <f>C32*'E Balans VL '!I20/100/3.6*1000000</f>
        <v>10145.224216950966</v>
      </c>
      <c r="F10" s="33">
        <f>C32*'E Balans VL '!L20/100/3.6*1000000+C32*'E Balans VL '!N20/100/3.6*1000000</f>
        <v>185471.10904954915</v>
      </c>
      <c r="G10" s="34"/>
      <c r="H10" s="33"/>
      <c r="I10" s="33"/>
      <c r="J10" s="40">
        <f>C32*'E Balans VL '!D20/100/3.6*1000000+C32*'E Balans VL '!E20/100/3.6*1000000</f>
        <v>1.6454784373680817</v>
      </c>
      <c r="K10" s="33"/>
      <c r="L10" s="33"/>
      <c r="M10" s="33"/>
      <c r="N10" s="33">
        <f>C32*'E Balans VL '!Y20/100/3.6*1000000</f>
        <v>36540.276354561378</v>
      </c>
      <c r="O10" s="33"/>
      <c r="P10" s="33"/>
      <c r="R10" s="32"/>
    </row>
    <row r="11" spans="1:18">
      <c r="A11" s="6" t="s">
        <v>40</v>
      </c>
      <c r="B11" s="37">
        <f t="shared" si="0"/>
        <v>185.29663245134202</v>
      </c>
      <c r="C11" s="33"/>
      <c r="D11" s="37">
        <f>IF( ISERROR(IND_textiel_gas_kWh/1000),0,IND_textiel_gas_kWh/1000)*0.902</f>
        <v>61.714935432719749</v>
      </c>
      <c r="E11" s="33">
        <f>C33*'E Balans VL '!I21/100/3.6*1000000</f>
        <v>3.6729583667173007E-2</v>
      </c>
      <c r="F11" s="33">
        <f>C33*'E Balans VL '!L21/100/3.6*1000000+C33*'E Balans VL '!N21/100/3.6*1000000</f>
        <v>6.824698534283657</v>
      </c>
      <c r="G11" s="34"/>
      <c r="H11" s="33"/>
      <c r="I11" s="33"/>
      <c r="J11" s="40">
        <f>C33*'E Balans VL '!D21/100/3.6*1000000+C33*'E Balans VL '!E21/100/3.6*1000000</f>
        <v>0</v>
      </c>
      <c r="K11" s="33"/>
      <c r="L11" s="33"/>
      <c r="M11" s="33"/>
      <c r="N11" s="33">
        <f>C33*'E Balans VL '!Y21/100/3.6*1000000</f>
        <v>0.86158256427466406</v>
      </c>
      <c r="O11" s="33"/>
      <c r="P11" s="33"/>
      <c r="R11" s="32"/>
    </row>
    <row r="12" spans="1:18">
      <c r="A12" s="6" t="s">
        <v>37</v>
      </c>
      <c r="B12" s="37">
        <f t="shared" si="0"/>
        <v>223.249220051392</v>
      </c>
      <c r="C12" s="33"/>
      <c r="D12" s="37">
        <f>IF( ISERROR(IND_min_gas_kWh/1000),0,IND_min_gas_kWh/1000)*0.902</f>
        <v>0</v>
      </c>
      <c r="E12" s="33">
        <f>C34*'E Balans VL '!I22/100/3.6*1000000</f>
        <v>1.7390627802658503</v>
      </c>
      <c r="F12" s="33">
        <f>C34*'E Balans VL '!L22/100/3.6*1000000+C34*'E Balans VL '!N22/100/3.6*1000000</f>
        <v>84.195886719801308</v>
      </c>
      <c r="G12" s="34"/>
      <c r="H12" s="33"/>
      <c r="I12" s="33"/>
      <c r="J12" s="40">
        <f>C34*'E Balans VL '!D22/100/3.6*1000000+C34*'E Balans VL '!E22/100/3.6*1000000</f>
        <v>1.2278511909497993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80616.849791699802</v>
      </c>
      <c r="C15" s="33"/>
      <c r="D15" s="37">
        <f>IF( ISERROR(IND_rest_gas_kWh/1000),0,IND_rest_gas_kWh/1000)*0.902</f>
        <v>50756.735303224727</v>
      </c>
      <c r="E15" s="33">
        <f>C37*'E Balans VL '!I15/100/3.6*1000000</f>
        <v>4497.4661255602969</v>
      </c>
      <c r="F15" s="33">
        <f>C37*'E Balans VL '!L15/100/3.6*1000000+C37*'E Balans VL '!N15/100/3.6*1000000</f>
        <v>18951.37865658792</v>
      </c>
      <c r="G15" s="34"/>
      <c r="H15" s="33"/>
      <c r="I15" s="33"/>
      <c r="J15" s="40">
        <f>C37*'E Balans VL '!D15/100/3.6*1000000+C37*'E Balans VL '!E15/100/3.6*1000000</f>
        <v>206.62605570575852</v>
      </c>
      <c r="K15" s="33"/>
      <c r="L15" s="33"/>
      <c r="M15" s="33"/>
      <c r="N15" s="33">
        <f>C37*'E Balans VL '!Y15/100/3.6*1000000</f>
        <v>15821.308873293183</v>
      </c>
      <c r="O15" s="33"/>
      <c r="P15" s="33"/>
      <c r="R15" s="32"/>
    </row>
    <row r="16" spans="1:18">
      <c r="A16" s="16" t="s">
        <v>497</v>
      </c>
      <c r="B16" s="249">
        <f>'lokale energieproductie'!N90+'lokale energieproductie'!N59</f>
        <v>1309.5</v>
      </c>
      <c r="C16" s="249">
        <f>'lokale energieproductie'!O90+'lokale energieproductie'!O59</f>
        <v>1870.7142857142858</v>
      </c>
      <c r="D16" s="312">
        <f>('lokale energieproductie'!P59+'lokale energieproductie'!P90)*(-1)</f>
        <v>-935.35714285714289</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-2806.0714285714284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209095.47734836541</v>
      </c>
      <c r="C18" s="21">
        <f>C5+C16</f>
        <v>1870.7142857142858</v>
      </c>
      <c r="D18" s="21">
        <f>MAX((D5+D16),0)</f>
        <v>99904.411529264573</v>
      </c>
      <c r="E18" s="21">
        <f>MAX((E5+E16),0)</f>
        <v>15179.469042808461</v>
      </c>
      <c r="F18" s="21">
        <f>MAX((F5+F16),0)</f>
        <v>205912.78869162878</v>
      </c>
      <c r="G18" s="21"/>
      <c r="H18" s="21"/>
      <c r="I18" s="21"/>
      <c r="J18" s="21">
        <f>MAX((J5+J16),0)</f>
        <v>209.49938533407641</v>
      </c>
      <c r="K18" s="21"/>
      <c r="L18" s="21">
        <f>MAX((L5+L16),0)</f>
        <v>0</v>
      </c>
      <c r="M18" s="21"/>
      <c r="N18" s="21">
        <f>MAX((N5+N16),0)</f>
        <v>50198.350121610936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0.21465211482825147</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44882.78641384939</v>
      </c>
      <c r="C22" s="23">
        <f ca="1">C18*C20</f>
        <v>427.55337689267225</v>
      </c>
      <c r="D22" s="23">
        <f>D18*D20</f>
        <v>20180.691128911443</v>
      </c>
      <c r="E22" s="23">
        <f>E18*E20</f>
        <v>3445.739472717521</v>
      </c>
      <c r="F22" s="23">
        <f>F18*F20</f>
        <v>54978.714580664891</v>
      </c>
      <c r="G22" s="23"/>
      <c r="H22" s="23"/>
      <c r="I22" s="23"/>
      <c r="J22" s="23">
        <f>J18*J20</f>
        <v>74.162782408263041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445.06379200434299</v>
      </c>
      <c r="C30" s="39">
        <f>IF(ISERROR(B30*3.6/1000000/'E Balans VL '!Z18*100),0,B30*3.6/1000000/'E Balans VL '!Z18*100)</f>
        <v>4.3793141006392339E-2</v>
      </c>
      <c r="D30" s="239" t="s">
        <v>692</v>
      </c>
    </row>
    <row r="31" spans="1:18">
      <c r="A31" s="6" t="s">
        <v>33</v>
      </c>
      <c r="B31" s="37">
        <f>IF( ISERROR(IND_ander_ele_kWh/1000),0,IND_ander_ele_kWh/1000)</f>
        <v>1929.31821753755</v>
      </c>
      <c r="C31" s="39">
        <f>IF(ISERROR(B31*3.6/1000000/'E Balans VL '!Z19*100),0,B31*3.6/1000000/'E Balans VL '!Z19*100)</f>
        <v>8.4020269371778339E-2</v>
      </c>
      <c r="D31" s="239" t="s">
        <v>692</v>
      </c>
    </row>
    <row r="32" spans="1:18">
      <c r="A32" s="173" t="s">
        <v>41</v>
      </c>
      <c r="B32" s="37">
        <f>IF( ISERROR(IND_voed_ele_kWh/1000),0,IND_voed_ele_kWh/1000)</f>
        <v>124386.199694621</v>
      </c>
      <c r="C32" s="39">
        <f>IF(ISERROR(B32*3.6/1000000/'E Balans VL '!Z20*100),0,B32*3.6/1000000/'E Balans VL '!Z20*100)</f>
        <v>23.600487547907811</v>
      </c>
      <c r="D32" s="239" t="s">
        <v>692</v>
      </c>
    </row>
    <row r="33" spans="1:5">
      <c r="A33" s="173" t="s">
        <v>40</v>
      </c>
      <c r="B33" s="37">
        <f>IF( ISERROR(IND_textiel_ele_kWh/1000),0,IND_textiel_ele_kWh/1000)</f>
        <v>185.29663245134202</v>
      </c>
      <c r="C33" s="39">
        <f>IF(ISERROR(B33*3.6/1000000/'E Balans VL '!Z21*100),0,B33*3.6/1000000/'E Balans VL '!Z21*100)</f>
        <v>1.0579498026430148E-2</v>
      </c>
      <c r="D33" s="239" t="s">
        <v>692</v>
      </c>
    </row>
    <row r="34" spans="1:5">
      <c r="A34" s="173" t="s">
        <v>37</v>
      </c>
      <c r="B34" s="37">
        <f>IF( ISERROR(IND_min_ele_kWh/1000),0,IND_min_ele_kWh/1000)</f>
        <v>223.249220051392</v>
      </c>
      <c r="C34" s="39">
        <f>IF(ISERROR(B34*3.6/1000000/'E Balans VL '!Z22*100),0,B34*3.6/1000000/'E Balans VL '!Z22*100)</f>
        <v>3.1391082138017432E-2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80616.849791699802</v>
      </c>
      <c r="C37" s="39">
        <f>IF(ISERROR(B37*3.6/1000000/'E Balans VL '!Z15*100),0,B37*3.6/1000000/'E Balans VL '!Z15*100)</f>
        <v>0.62125184554700741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7003.0948591430106</v>
      </c>
      <c r="C5" s="17">
        <f>'Eigen informatie GS &amp; warmtenet'!B60</f>
        <v>0</v>
      </c>
      <c r="D5" s="30">
        <f>IF(ISERROR(SUM(LB_lb_gas_kWh,LB_rest_gas_kWh)/1000),0,SUM(LB_lb_gas_kWh,LB_rest_gas_kWh)/1000)*0.902</f>
        <v>21824.816186753182</v>
      </c>
      <c r="E5" s="17">
        <f>B17*'E Balans VL '!I25/3.6*1000000/100</f>
        <v>88.248017045702241</v>
      </c>
      <c r="F5" s="17">
        <f>B17*('E Balans VL '!L25/3.6*1000000+'E Balans VL '!N25/3.6*1000000)/100</f>
        <v>24162.431644134107</v>
      </c>
      <c r="G5" s="18"/>
      <c r="H5" s="17"/>
      <c r="I5" s="17"/>
      <c r="J5" s="17">
        <f>('E Balans VL '!D25+'E Balans VL '!E25)/3.6*1000000*landbouw!B17/100</f>
        <v>1053.1858584423908</v>
      </c>
      <c r="K5" s="17"/>
      <c r="L5" s="17">
        <f>L6*(-1)</f>
        <v>0</v>
      </c>
      <c r="M5" s="17"/>
      <c r="N5" s="17">
        <f>N6*(-1)</f>
        <v>0</v>
      </c>
      <c r="O5" s="17"/>
      <c r="P5" s="17"/>
      <c r="R5" s="32"/>
    </row>
    <row r="6" spans="1:18">
      <c r="A6" s="16" t="s">
        <v>497</v>
      </c>
      <c r="B6" s="17" t="s">
        <v>211</v>
      </c>
      <c r="C6" s="17">
        <f>'lokale energieproductie'!O92+'lokale energieproductie'!O61</f>
        <v>34785</v>
      </c>
      <c r="D6" s="312">
        <f>('lokale energieproductie'!P61+'lokale energieproductie'!P92)*(-1)</f>
        <v>-69570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7003.0948591430106</v>
      </c>
      <c r="C8" s="21">
        <f>C5+C6</f>
        <v>34785</v>
      </c>
      <c r="D8" s="21">
        <f>MAX((D5+D6),0)</f>
        <v>0</v>
      </c>
      <c r="E8" s="21">
        <f>MAX((E5+E6),0)</f>
        <v>88.248017045702241</v>
      </c>
      <c r="F8" s="21">
        <f>MAX((F5+F6),0)</f>
        <v>24162.431644134107</v>
      </c>
      <c r="G8" s="21"/>
      <c r="H8" s="21"/>
      <c r="I8" s="21"/>
      <c r="J8" s="21">
        <f>MAX((J5+J6),0)</f>
        <v>1053.1858584423908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0.21465211482825147</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1503.229121857903</v>
      </c>
      <c r="C12" s="23">
        <f ca="1">C8*C10</f>
        <v>7950.1420012585886</v>
      </c>
      <c r="D12" s="23">
        <f>D8*D10</f>
        <v>0</v>
      </c>
      <c r="E12" s="23">
        <f>E8*E10</f>
        <v>20.032299869374409</v>
      </c>
      <c r="F12" s="23">
        <f>F8*F10</f>
        <v>6451.3692489838068</v>
      </c>
      <c r="G12" s="23"/>
      <c r="H12" s="23"/>
      <c r="I12" s="23"/>
      <c r="J12" s="23">
        <f>J8*J10</f>
        <v>372.82779388860632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0.97671100811274403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394.73630183092996</v>
      </c>
      <c r="C26" s="249">
        <f>B26*'GWP N2O_CH4'!B5</f>
        <v>8289.4623384495299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503.9209125641766</v>
      </c>
      <c r="C27" s="249">
        <f>B27*'GWP N2O_CH4'!B5</f>
        <v>10582.339163847708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6.9867854179575826</v>
      </c>
      <c r="C28" s="249">
        <f>B28*'GWP N2O_CH4'!B4</f>
        <v>2165.9034795668508</v>
      </c>
      <c r="D28" s="50"/>
    </row>
    <row r="29" spans="1:4">
      <c r="A29" s="41" t="s">
        <v>277</v>
      </c>
      <c r="B29" s="249">
        <f>B34*'ha_N2O bodem landbouw'!B4</f>
        <v>13.360707981186849</v>
      </c>
      <c r="C29" s="249">
        <f>B29*'GWP N2O_CH4'!B4</f>
        <v>4141.8194741679235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3.3360352789820855E-3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2.8384236879205417E-5</v>
      </c>
      <c r="C5" s="448" t="s">
        <v>211</v>
      </c>
      <c r="D5" s="433">
        <f>SUM(D6:D11)</f>
        <v>4.5133487769318442E-5</v>
      </c>
      <c r="E5" s="433">
        <f>SUM(E6:E11)</f>
        <v>1.5646094395141679E-3</v>
      </c>
      <c r="F5" s="446" t="s">
        <v>211</v>
      </c>
      <c r="G5" s="433">
        <f>SUM(G6:G11)</f>
        <v>0.44902251063384446</v>
      </c>
      <c r="H5" s="433">
        <f>SUM(H6:H11)</f>
        <v>6.923851313873354E-2</v>
      </c>
      <c r="I5" s="448" t="s">
        <v>211</v>
      </c>
      <c r="J5" s="448" t="s">
        <v>211</v>
      </c>
      <c r="K5" s="448" t="s">
        <v>211</v>
      </c>
      <c r="L5" s="448" t="s">
        <v>211</v>
      </c>
      <c r="M5" s="433">
        <f>SUM(M6:M11)</f>
        <v>2.3422505275137631E-2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1.0066441815563616E-5</v>
      </c>
      <c r="C6" s="887"/>
      <c r="D6" s="887">
        <f>vkm_2011_GW_PW*SUMIFS(TableVerdeelsleutelVkm[CNG],TableVerdeelsleutelVkm[Voertuigtype],"Lichte voertuigen")*SUMIFS(TableECFTransport[EnergieConsumptieFactor (PJ per km)],TableECFTransport[Index],CONCATENATE($A6,"_CNG_CNG"))</f>
        <v>1.4256050411713654E-5</v>
      </c>
      <c r="E6" s="887">
        <f>vkm_2011_GW_PW*SUMIFS(TableVerdeelsleutelVkm[LPG],TableVerdeelsleutelVkm[Voertuigtype],"Lichte voertuigen")*SUMIFS(TableECFTransport[EnergieConsumptieFactor (PJ per km)],TableECFTransport[Index],CONCATENATE($A6,"_LPG_LPG"))</f>
        <v>4.4773561127495193E-4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8.047034926018426E-2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2.1562677597181203E-2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4.6163001585709917E-3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5.5666293192635975E-2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1.9777656892103108E-5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2.5120436401170018E-3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3.6300867108363041E-6</v>
      </c>
      <c r="C8" s="887"/>
      <c r="D8" s="436">
        <f>vkm_2011_NGW_PW*SUMIFS(TableVerdeelsleutelVkm[CNG],TableVerdeelsleutelVkm[Voertuigtype],"Lichte voertuigen")*SUMIFS(TableECFTransport[EnergieConsumptieFactor (PJ per km)],TableECFTransport[Index],CONCATENATE($A8,"_CNG_CNG"))</f>
        <v>9.158623735147815E-6</v>
      </c>
      <c r="E8" s="436">
        <f>vkm_2011_NGW_PW*SUMIFS(TableVerdeelsleutelVkm[LPG],TableVerdeelsleutelVkm[Voertuigtype],"Lichte voertuigen")*SUMIFS(TableECFTransport[EnergieConsumptieFactor (PJ per km)],TableECFTransport[Index],CONCATENATE($A8,"_LPG_LPG"))</f>
        <v>2.6493839158874628E-4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4.4909626480974109E-2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1.3366469940622683E-2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2.6372562906896149E-3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2.2362613879531576E-2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7.5184757376348178E-6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1.009134473816861E-3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1.4687708352805494E-5</v>
      </c>
      <c r="C10" s="887"/>
      <c r="D10" s="436">
        <f>vkm_2011_SW_PW*SUMIFS(TableVerdeelsleutelVkm[CNG],TableVerdeelsleutelVkm[Voertuigtype],"Lichte voertuigen")*SUMIFS(TableECFTransport[EnergieConsumptieFactor (PJ per km)],TableECFTransport[Index],CONCATENATE($A10,"_CNG_CNG"))</f>
        <v>2.1718813622456973E-5</v>
      </c>
      <c r="E10" s="436">
        <f>vkm_2011_SW_PW*SUMIFS(TableVerdeelsleutelVkm[LPG],TableVerdeelsleutelVkm[Voertuigtype],"Lichte voertuigen")*SUMIFS(TableECFTransport[EnergieConsumptieFactor (PJ per km)],TableECFTransport[Index],CONCATENATE($A10,"_LPG_LPG"))</f>
        <v>8.5193543665046964E-4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0.13867004371980005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3.4241094682028524E-2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7.8216089681555617E-3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0.10694358410071846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4.0974786271391458E-5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4.8261617437876016E-3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7.8845102442237271</v>
      </c>
      <c r="C14" s="21"/>
      <c r="D14" s="21">
        <f t="shared" ref="D14:M14" si="0">((D5)*10^9/3600)+D12</f>
        <v>12.537079935921788</v>
      </c>
      <c r="E14" s="21">
        <f t="shared" si="0"/>
        <v>434.61373319837998</v>
      </c>
      <c r="F14" s="21"/>
      <c r="G14" s="21">
        <f t="shared" si="0"/>
        <v>124728.47517606789</v>
      </c>
      <c r="H14" s="21">
        <f t="shared" si="0"/>
        <v>19232.92031631487</v>
      </c>
      <c r="I14" s="21"/>
      <c r="J14" s="21"/>
      <c r="K14" s="21"/>
      <c r="L14" s="21"/>
      <c r="M14" s="21">
        <f t="shared" si="0"/>
        <v>6506.2514653160079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0.21465211482825147</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1.6924267983076366</v>
      </c>
      <c r="C18" s="23"/>
      <c r="D18" s="23">
        <f t="shared" ref="D18:M18" si="1">D14*D16</f>
        <v>2.5324901470562016</v>
      </c>
      <c r="E18" s="23">
        <f t="shared" si="1"/>
        <v>98.657317436032258</v>
      </c>
      <c r="F18" s="23"/>
      <c r="G18" s="23">
        <f t="shared" si="1"/>
        <v>33302.502872010125</v>
      </c>
      <c r="H18" s="23">
        <f t="shared" si="1"/>
        <v>4788.9971587624032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3.4651032161700243E-3</v>
      </c>
      <c r="H50" s="323">
        <f t="shared" si="2"/>
        <v>0</v>
      </c>
      <c r="I50" s="323">
        <f t="shared" si="2"/>
        <v>0</v>
      </c>
      <c r="J50" s="323">
        <f t="shared" si="2"/>
        <v>0</v>
      </c>
      <c r="K50" s="323">
        <f t="shared" si="2"/>
        <v>0</v>
      </c>
      <c r="L50" s="323">
        <f t="shared" si="2"/>
        <v>0</v>
      </c>
      <c r="M50" s="323">
        <f t="shared" si="2"/>
        <v>1.5410161537579022E-4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3.4651032161700243E-3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1.5410161537579022E-4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962.52867115833999</v>
      </c>
      <c r="H54" s="21">
        <f t="shared" si="3"/>
        <v>0</v>
      </c>
      <c r="I54" s="21">
        <f t="shared" si="3"/>
        <v>0</v>
      </c>
      <c r="J54" s="21">
        <f t="shared" si="3"/>
        <v>0</v>
      </c>
      <c r="K54" s="21">
        <f t="shared" si="3"/>
        <v>0</v>
      </c>
      <c r="L54" s="21">
        <f t="shared" si="3"/>
        <v>0</v>
      </c>
      <c r="M54" s="21">
        <f t="shared" si="3"/>
        <v>42.806004271052842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0.21465211482825147</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256.99515519927678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10256.706722983126</v>
      </c>
      <c r="D10" s="690">
        <f ca="1">tertiair!C16</f>
        <v>0</v>
      </c>
      <c r="E10" s="690">
        <f ca="1">tertiair!D16</f>
        <v>60903.119760029833</v>
      </c>
      <c r="F10" s="690">
        <f>tertiair!E16</f>
        <v>138.40850240770072</v>
      </c>
      <c r="G10" s="690">
        <f ca="1">tertiair!F16</f>
        <v>1856.5474774265822</v>
      </c>
      <c r="H10" s="690">
        <f>tertiair!G16</f>
        <v>0</v>
      </c>
      <c r="I10" s="690">
        <f>tertiair!H16</f>
        <v>0</v>
      </c>
      <c r="J10" s="690">
        <f>tertiair!I16</f>
        <v>0</v>
      </c>
      <c r="K10" s="690">
        <f>tertiair!J16</f>
        <v>0</v>
      </c>
      <c r="L10" s="690">
        <f>tertiair!K16</f>
        <v>0</v>
      </c>
      <c r="M10" s="690">
        <f ca="1">tertiair!L16</f>
        <v>0</v>
      </c>
      <c r="N10" s="690">
        <f>tertiair!M16</f>
        <v>0</v>
      </c>
      <c r="O10" s="690">
        <f ca="1">tertiair!N16</f>
        <v>574.85865382399288</v>
      </c>
      <c r="P10" s="690">
        <f>tertiair!O16</f>
        <v>0</v>
      </c>
      <c r="Q10" s="691">
        <f>tertiair!P16</f>
        <v>38.133333333333333</v>
      </c>
      <c r="R10" s="693">
        <f ca="1">SUM(C10:Q10)</f>
        <v>73767.774450004566</v>
      </c>
      <c r="S10" s="67"/>
    </row>
    <row r="11" spans="1:19" s="458" customFormat="1">
      <c r="A11" s="805" t="s">
        <v>225</v>
      </c>
      <c r="B11" s="810"/>
      <c r="C11" s="690">
        <f>huishoudens!B8</f>
        <v>16199.256658393599</v>
      </c>
      <c r="D11" s="690">
        <f>huishoudens!C8</f>
        <v>0</v>
      </c>
      <c r="E11" s="690">
        <f>huishoudens!D8</f>
        <v>34160.695004260175</v>
      </c>
      <c r="F11" s="690">
        <f>huishoudens!E8</f>
        <v>5837.3299712884955</v>
      </c>
      <c r="G11" s="690">
        <f>huishoudens!F8</f>
        <v>19162.39714281428</v>
      </c>
      <c r="H11" s="690">
        <f>huishoudens!G8</f>
        <v>0</v>
      </c>
      <c r="I11" s="690">
        <f>huishoudens!H8</f>
        <v>0</v>
      </c>
      <c r="J11" s="690">
        <f>huishoudens!I8</f>
        <v>0</v>
      </c>
      <c r="K11" s="690">
        <f>huishoudens!J8</f>
        <v>3018.6841315348602</v>
      </c>
      <c r="L11" s="690">
        <f>huishoudens!K8</f>
        <v>0</v>
      </c>
      <c r="M11" s="690">
        <f>huishoudens!L8</f>
        <v>0</v>
      </c>
      <c r="N11" s="690">
        <f>huishoudens!M8</f>
        <v>0</v>
      </c>
      <c r="O11" s="690">
        <f>huishoudens!N8</f>
        <v>13130.235669006606</v>
      </c>
      <c r="P11" s="690">
        <f>huishoudens!O8</f>
        <v>140.70000000000002</v>
      </c>
      <c r="Q11" s="691">
        <f>huishoudens!P8</f>
        <v>247.86666666666667</v>
      </c>
      <c r="R11" s="693">
        <f>SUM(C11:Q11)</f>
        <v>91897.165243964686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209095.47734836541</v>
      </c>
      <c r="D13" s="690">
        <f>industrie!C18</f>
        <v>1870.7142857142858</v>
      </c>
      <c r="E13" s="690">
        <f>industrie!D18</f>
        <v>99904.411529264573</v>
      </c>
      <c r="F13" s="690">
        <f>industrie!E18</f>
        <v>15179.469042808461</v>
      </c>
      <c r="G13" s="690">
        <f>industrie!F18</f>
        <v>205912.78869162878</v>
      </c>
      <c r="H13" s="690">
        <f>industrie!G18</f>
        <v>0</v>
      </c>
      <c r="I13" s="690">
        <f>industrie!H18</f>
        <v>0</v>
      </c>
      <c r="J13" s="690">
        <f>industrie!I18</f>
        <v>0</v>
      </c>
      <c r="K13" s="690">
        <f>industrie!J18</f>
        <v>209.49938533407641</v>
      </c>
      <c r="L13" s="690">
        <f>industrie!K18</f>
        <v>0</v>
      </c>
      <c r="M13" s="690">
        <f>industrie!L18</f>
        <v>0</v>
      </c>
      <c r="N13" s="690">
        <f>industrie!M18</f>
        <v>0</v>
      </c>
      <c r="O13" s="690">
        <f>industrie!N18</f>
        <v>50198.350121610936</v>
      </c>
      <c r="P13" s="690">
        <f>industrie!O18</f>
        <v>0</v>
      </c>
      <c r="Q13" s="691">
        <f>industrie!P18</f>
        <v>0</v>
      </c>
      <c r="R13" s="693">
        <f>SUM(C13:Q13)</f>
        <v>582370.71040472656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235551.44072974214</v>
      </c>
      <c r="D16" s="725">
        <f t="shared" ref="D16:R16" ca="1" si="0">SUM(D9:D15)</f>
        <v>1870.7142857142858</v>
      </c>
      <c r="E16" s="725">
        <f t="shared" ca="1" si="0"/>
        <v>194968.22629355459</v>
      </c>
      <c r="F16" s="725">
        <f t="shared" si="0"/>
        <v>21155.207516504655</v>
      </c>
      <c r="G16" s="725">
        <f t="shared" ca="1" si="0"/>
        <v>226931.73331186964</v>
      </c>
      <c r="H16" s="725">
        <f t="shared" si="0"/>
        <v>0</v>
      </c>
      <c r="I16" s="725">
        <f t="shared" si="0"/>
        <v>0</v>
      </c>
      <c r="J16" s="725">
        <f t="shared" si="0"/>
        <v>0</v>
      </c>
      <c r="K16" s="725">
        <f t="shared" si="0"/>
        <v>3228.1835168689367</v>
      </c>
      <c r="L16" s="725">
        <f t="shared" si="0"/>
        <v>0</v>
      </c>
      <c r="M16" s="725">
        <f t="shared" ca="1" si="0"/>
        <v>0</v>
      </c>
      <c r="N16" s="725">
        <f t="shared" si="0"/>
        <v>0</v>
      </c>
      <c r="O16" s="725">
        <f t="shared" ca="1" si="0"/>
        <v>63903.444444441535</v>
      </c>
      <c r="P16" s="725">
        <f t="shared" si="0"/>
        <v>140.70000000000002</v>
      </c>
      <c r="Q16" s="725">
        <f t="shared" si="0"/>
        <v>286</v>
      </c>
      <c r="R16" s="725">
        <f t="shared" ca="1" si="0"/>
        <v>748035.65009869589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962.52867115833999</v>
      </c>
      <c r="I19" s="690">
        <f>transport!H54</f>
        <v>0</v>
      </c>
      <c r="J19" s="690">
        <f>transport!I54</f>
        <v>0</v>
      </c>
      <c r="K19" s="690">
        <f>transport!J54</f>
        <v>0</v>
      </c>
      <c r="L19" s="690">
        <f>transport!K54</f>
        <v>0</v>
      </c>
      <c r="M19" s="690">
        <f>transport!L54</f>
        <v>0</v>
      </c>
      <c r="N19" s="690">
        <f>transport!M54</f>
        <v>42.806004271052842</v>
      </c>
      <c r="O19" s="690">
        <f>transport!N54</f>
        <v>0</v>
      </c>
      <c r="P19" s="690">
        <f>transport!O54</f>
        <v>0</v>
      </c>
      <c r="Q19" s="691">
        <f>transport!P54</f>
        <v>0</v>
      </c>
      <c r="R19" s="693">
        <f>SUM(C19:Q19)</f>
        <v>1005.3346754293929</v>
      </c>
      <c r="S19" s="67"/>
    </row>
    <row r="20" spans="1:19" s="458" customFormat="1">
      <c r="A20" s="805" t="s">
        <v>307</v>
      </c>
      <c r="B20" s="810"/>
      <c r="C20" s="690">
        <f>transport!B14</f>
        <v>7.8845102442237271</v>
      </c>
      <c r="D20" s="690">
        <f>transport!C14</f>
        <v>0</v>
      </c>
      <c r="E20" s="690">
        <f>transport!D14</f>
        <v>12.537079935921788</v>
      </c>
      <c r="F20" s="690">
        <f>transport!E14</f>
        <v>434.61373319837998</v>
      </c>
      <c r="G20" s="690">
        <f>transport!F14</f>
        <v>0</v>
      </c>
      <c r="H20" s="690">
        <f>transport!G14</f>
        <v>124728.47517606789</v>
      </c>
      <c r="I20" s="690">
        <f>transport!H14</f>
        <v>19232.92031631487</v>
      </c>
      <c r="J20" s="690">
        <f>transport!I14</f>
        <v>0</v>
      </c>
      <c r="K20" s="690">
        <f>transport!J14</f>
        <v>0</v>
      </c>
      <c r="L20" s="690">
        <f>transport!K14</f>
        <v>0</v>
      </c>
      <c r="M20" s="690">
        <f>transport!L14</f>
        <v>0</v>
      </c>
      <c r="N20" s="690">
        <f>transport!M14</f>
        <v>6506.2514653160079</v>
      </c>
      <c r="O20" s="690">
        <f>transport!N14</f>
        <v>0</v>
      </c>
      <c r="P20" s="690">
        <f>transport!O14</f>
        <v>0</v>
      </c>
      <c r="Q20" s="691">
        <f>transport!P14</f>
        <v>0</v>
      </c>
      <c r="R20" s="693">
        <f>SUM(C20:Q20)</f>
        <v>150922.68228107732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7.8845102442237271</v>
      </c>
      <c r="D22" s="808">
        <f t="shared" ref="D22:R22" si="1">SUM(D18:D21)</f>
        <v>0</v>
      </c>
      <c r="E22" s="808">
        <f t="shared" si="1"/>
        <v>12.537079935921788</v>
      </c>
      <c r="F22" s="808">
        <f t="shared" si="1"/>
        <v>434.61373319837998</v>
      </c>
      <c r="G22" s="808">
        <f t="shared" si="1"/>
        <v>0</v>
      </c>
      <c r="H22" s="808">
        <f t="shared" si="1"/>
        <v>125691.00384722624</v>
      </c>
      <c r="I22" s="808">
        <f t="shared" si="1"/>
        <v>19232.92031631487</v>
      </c>
      <c r="J22" s="808">
        <f t="shared" si="1"/>
        <v>0</v>
      </c>
      <c r="K22" s="808">
        <f t="shared" si="1"/>
        <v>0</v>
      </c>
      <c r="L22" s="808">
        <f t="shared" si="1"/>
        <v>0</v>
      </c>
      <c r="M22" s="808">
        <f t="shared" si="1"/>
        <v>0</v>
      </c>
      <c r="N22" s="808">
        <f t="shared" si="1"/>
        <v>6549.057469587061</v>
      </c>
      <c r="O22" s="808">
        <f t="shared" si="1"/>
        <v>0</v>
      </c>
      <c r="P22" s="808">
        <f t="shared" si="1"/>
        <v>0</v>
      </c>
      <c r="Q22" s="808">
        <f t="shared" si="1"/>
        <v>0</v>
      </c>
      <c r="R22" s="808">
        <f t="shared" si="1"/>
        <v>151928.0169565067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7003.0948591430106</v>
      </c>
      <c r="D24" s="690">
        <f>+landbouw!C8</f>
        <v>34785</v>
      </c>
      <c r="E24" s="690">
        <f>+landbouw!D8</f>
        <v>0</v>
      </c>
      <c r="F24" s="690">
        <f>+landbouw!E8</f>
        <v>88.248017045702241</v>
      </c>
      <c r="G24" s="690">
        <f>+landbouw!F8</f>
        <v>24162.431644134107</v>
      </c>
      <c r="H24" s="690">
        <f>+landbouw!G8</f>
        <v>0</v>
      </c>
      <c r="I24" s="690">
        <f>+landbouw!H8</f>
        <v>0</v>
      </c>
      <c r="J24" s="690">
        <f>+landbouw!I8</f>
        <v>0</v>
      </c>
      <c r="K24" s="690">
        <f>+landbouw!J8</f>
        <v>1053.1858584423908</v>
      </c>
      <c r="L24" s="690">
        <f>+landbouw!K8</f>
        <v>0</v>
      </c>
      <c r="M24" s="690">
        <f>+landbouw!L8</f>
        <v>0</v>
      </c>
      <c r="N24" s="690">
        <f>+landbouw!M8</f>
        <v>0</v>
      </c>
      <c r="O24" s="690">
        <f>+landbouw!N8</f>
        <v>0</v>
      </c>
      <c r="P24" s="690">
        <f>+landbouw!O8</f>
        <v>0</v>
      </c>
      <c r="Q24" s="691">
        <f>+landbouw!P8</f>
        <v>0</v>
      </c>
      <c r="R24" s="693">
        <f>SUM(C24:Q24)</f>
        <v>67091.960378765216</v>
      </c>
      <c r="S24" s="67"/>
    </row>
    <row r="25" spans="1:19" s="458" customFormat="1" ht="15" thickBot="1">
      <c r="A25" s="827" t="s">
        <v>872</v>
      </c>
      <c r="B25" s="1004"/>
      <c r="C25" s="1005">
        <f>IF(Onbekend_ele_kWh="---",0,Onbekend_ele_kWh)/1000+IF(REST_rest_ele_kWh="---",0,REST_rest_ele_kWh)/1000</f>
        <v>459.545887251571</v>
      </c>
      <c r="D25" s="1005"/>
      <c r="E25" s="1005">
        <f>IF(onbekend_gas_kWh="---",0,onbekend_gas_kWh)/1000+IF(REST_rest_gas_kWh="---",0,REST_rest_gas_kWh)/1000</f>
        <v>846.39165704484708</v>
      </c>
      <c r="F25" s="1005"/>
      <c r="G25" s="1005"/>
      <c r="H25" s="1005"/>
      <c r="I25" s="1005"/>
      <c r="J25" s="1005"/>
      <c r="K25" s="1005"/>
      <c r="L25" s="1005"/>
      <c r="M25" s="1005"/>
      <c r="N25" s="1005"/>
      <c r="O25" s="1005"/>
      <c r="P25" s="1005"/>
      <c r="Q25" s="1006"/>
      <c r="R25" s="693">
        <f>SUM(C25:Q25)</f>
        <v>1305.9375442964181</v>
      </c>
      <c r="S25" s="67"/>
    </row>
    <row r="26" spans="1:19" s="458" customFormat="1" ht="15.75" thickBot="1">
      <c r="A26" s="698" t="s">
        <v>873</v>
      </c>
      <c r="B26" s="813"/>
      <c r="C26" s="808">
        <f>SUM(C24:C25)</f>
        <v>7462.6407463945816</v>
      </c>
      <c r="D26" s="808">
        <f t="shared" ref="D26:R26" si="2">SUM(D24:D25)</f>
        <v>34785</v>
      </c>
      <c r="E26" s="808">
        <f t="shared" si="2"/>
        <v>846.39165704484708</v>
      </c>
      <c r="F26" s="808">
        <f t="shared" si="2"/>
        <v>88.248017045702241</v>
      </c>
      <c r="G26" s="808">
        <f t="shared" si="2"/>
        <v>24162.431644134107</v>
      </c>
      <c r="H26" s="808">
        <f t="shared" si="2"/>
        <v>0</v>
      </c>
      <c r="I26" s="808">
        <f t="shared" si="2"/>
        <v>0</v>
      </c>
      <c r="J26" s="808">
        <f t="shared" si="2"/>
        <v>0</v>
      </c>
      <c r="K26" s="808">
        <f t="shared" si="2"/>
        <v>1053.1858584423908</v>
      </c>
      <c r="L26" s="808">
        <f t="shared" si="2"/>
        <v>0</v>
      </c>
      <c r="M26" s="808">
        <f t="shared" si="2"/>
        <v>0</v>
      </c>
      <c r="N26" s="808">
        <f t="shared" si="2"/>
        <v>0</v>
      </c>
      <c r="O26" s="808">
        <f t="shared" si="2"/>
        <v>0</v>
      </c>
      <c r="P26" s="808">
        <f t="shared" si="2"/>
        <v>0</v>
      </c>
      <c r="Q26" s="808">
        <f t="shared" si="2"/>
        <v>0</v>
      </c>
      <c r="R26" s="808">
        <f t="shared" si="2"/>
        <v>68397.897923061639</v>
      </c>
      <c r="S26" s="67"/>
    </row>
    <row r="27" spans="1:19" s="458" customFormat="1" ht="17.25" thickTop="1" thickBot="1">
      <c r="A27" s="699" t="s">
        <v>116</v>
      </c>
      <c r="B27" s="800"/>
      <c r="C27" s="700">
        <f ca="1">C22+C16+C26</f>
        <v>243021.96598638094</v>
      </c>
      <c r="D27" s="700">
        <f t="shared" ref="D27:R27" ca="1" si="3">D22+D16+D26</f>
        <v>36655.714285714283</v>
      </c>
      <c r="E27" s="700">
        <f t="shared" ca="1" si="3"/>
        <v>195827.15503053536</v>
      </c>
      <c r="F27" s="700">
        <f t="shared" si="3"/>
        <v>21678.069266748738</v>
      </c>
      <c r="G27" s="700">
        <f t="shared" ca="1" si="3"/>
        <v>251094.16495600375</v>
      </c>
      <c r="H27" s="700">
        <f t="shared" si="3"/>
        <v>125691.00384722624</v>
      </c>
      <c r="I27" s="700">
        <f t="shared" si="3"/>
        <v>19232.92031631487</v>
      </c>
      <c r="J27" s="700">
        <f t="shared" si="3"/>
        <v>0</v>
      </c>
      <c r="K27" s="700">
        <f t="shared" si="3"/>
        <v>4281.3693753113275</v>
      </c>
      <c r="L27" s="700">
        <f t="shared" si="3"/>
        <v>0</v>
      </c>
      <c r="M27" s="700">
        <f t="shared" ca="1" si="3"/>
        <v>0</v>
      </c>
      <c r="N27" s="700">
        <f t="shared" si="3"/>
        <v>6549.057469587061</v>
      </c>
      <c r="O27" s="700">
        <f t="shared" ca="1" si="3"/>
        <v>63903.444444441535</v>
      </c>
      <c r="P27" s="700">
        <f t="shared" si="3"/>
        <v>140.70000000000002</v>
      </c>
      <c r="Q27" s="700">
        <f t="shared" si="3"/>
        <v>286</v>
      </c>
      <c r="R27" s="700">
        <f t="shared" ca="1" si="3"/>
        <v>968361.56497826427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2201.6237892614727</v>
      </c>
      <c r="D40" s="690">
        <f ca="1">tertiair!C20</f>
        <v>0</v>
      </c>
      <c r="E40" s="690">
        <f ca="1">tertiair!D20</f>
        <v>12302.430191526028</v>
      </c>
      <c r="F40" s="690">
        <f>tertiair!E20</f>
        <v>31.418730046548067</v>
      </c>
      <c r="G40" s="690">
        <f ca="1">tertiair!F20</f>
        <v>495.6981764728975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15031.170887306944</v>
      </c>
    </row>
    <row r="41" spans="1:18">
      <c r="A41" s="818" t="s">
        <v>225</v>
      </c>
      <c r="B41" s="825"/>
      <c r="C41" s="690">
        <f ca="1">huishoudens!B12</f>
        <v>3477.2047003698199</v>
      </c>
      <c r="D41" s="690">
        <f ca="1">huishoudens!C12</f>
        <v>0</v>
      </c>
      <c r="E41" s="690">
        <f>huishoudens!D12</f>
        <v>6900.4603908605559</v>
      </c>
      <c r="F41" s="690">
        <f>huishoudens!E12</f>
        <v>1325.0739034824885</v>
      </c>
      <c r="G41" s="690">
        <f>huishoudens!F12</f>
        <v>5116.3600371314133</v>
      </c>
      <c r="H41" s="690">
        <f>huishoudens!G12</f>
        <v>0</v>
      </c>
      <c r="I41" s="690">
        <f>huishoudens!H12</f>
        <v>0</v>
      </c>
      <c r="J41" s="690">
        <f>huishoudens!I12</f>
        <v>0</v>
      </c>
      <c r="K41" s="690">
        <f>huishoudens!J12</f>
        <v>1068.6141825633404</v>
      </c>
      <c r="L41" s="690">
        <f>huishoudens!K12</f>
        <v>0</v>
      </c>
      <c r="M41" s="690">
        <f>huishoudens!L12</f>
        <v>0</v>
      </c>
      <c r="N41" s="690">
        <f>huishoudens!M12</f>
        <v>0</v>
      </c>
      <c r="O41" s="690">
        <f>huishoudens!N12</f>
        <v>0</v>
      </c>
      <c r="P41" s="690">
        <f>huishoudens!O12</f>
        <v>0</v>
      </c>
      <c r="Q41" s="767">
        <f>huishoudens!P12</f>
        <v>0</v>
      </c>
      <c r="R41" s="846">
        <f t="shared" ca="1" si="4"/>
        <v>17887.713214407617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44882.78641384939</v>
      </c>
      <c r="D43" s="690">
        <f ca="1">industrie!C22</f>
        <v>427.55337689267225</v>
      </c>
      <c r="E43" s="690">
        <f>industrie!D22</f>
        <v>20180.691128911443</v>
      </c>
      <c r="F43" s="690">
        <f>industrie!E22</f>
        <v>3445.739472717521</v>
      </c>
      <c r="G43" s="690">
        <f>industrie!F22</f>
        <v>54978.714580664891</v>
      </c>
      <c r="H43" s="690">
        <f>industrie!G22</f>
        <v>0</v>
      </c>
      <c r="I43" s="690">
        <f>industrie!H22</f>
        <v>0</v>
      </c>
      <c r="J43" s="690">
        <f>industrie!I22</f>
        <v>0</v>
      </c>
      <c r="K43" s="690">
        <f>industrie!J22</f>
        <v>74.162782408263041</v>
      </c>
      <c r="L43" s="690">
        <f>industrie!K22</f>
        <v>0</v>
      </c>
      <c r="M43" s="690">
        <f>industrie!L22</f>
        <v>0</v>
      </c>
      <c r="N43" s="690">
        <f>industrie!M22</f>
        <v>0</v>
      </c>
      <c r="O43" s="690">
        <f>industrie!N22</f>
        <v>0</v>
      </c>
      <c r="P43" s="690">
        <f>industrie!O22</f>
        <v>0</v>
      </c>
      <c r="Q43" s="767">
        <f>industrie!P22</f>
        <v>0</v>
      </c>
      <c r="R43" s="845">
        <f t="shared" ca="1" si="4"/>
        <v>123989.64775544418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50561.61490348068</v>
      </c>
      <c r="D46" s="725">
        <f t="shared" ref="D46:Q46" ca="1" si="5">SUM(D39:D45)</f>
        <v>427.55337689267225</v>
      </c>
      <c r="E46" s="725">
        <f t="shared" ca="1" si="5"/>
        <v>39383.581711298029</v>
      </c>
      <c r="F46" s="725">
        <f t="shared" si="5"/>
        <v>4802.232106246558</v>
      </c>
      <c r="G46" s="725">
        <f t="shared" ca="1" si="5"/>
        <v>60590.7727942692</v>
      </c>
      <c r="H46" s="725">
        <f t="shared" si="5"/>
        <v>0</v>
      </c>
      <c r="I46" s="725">
        <f t="shared" si="5"/>
        <v>0</v>
      </c>
      <c r="J46" s="725">
        <f t="shared" si="5"/>
        <v>0</v>
      </c>
      <c r="K46" s="725">
        <f t="shared" si="5"/>
        <v>1142.7769649716033</v>
      </c>
      <c r="L46" s="725">
        <f t="shared" si="5"/>
        <v>0</v>
      </c>
      <c r="M46" s="725">
        <f t="shared" ca="1" si="5"/>
        <v>0</v>
      </c>
      <c r="N46" s="725">
        <f t="shared" si="5"/>
        <v>0</v>
      </c>
      <c r="O46" s="725">
        <f t="shared" ca="1" si="5"/>
        <v>0</v>
      </c>
      <c r="P46" s="725">
        <f t="shared" si="5"/>
        <v>0</v>
      </c>
      <c r="Q46" s="725">
        <f t="shared" si="5"/>
        <v>0</v>
      </c>
      <c r="R46" s="725">
        <f ca="1">SUM(R39:R45)</f>
        <v>156908.53185715876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256.99515519927678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256.99515519927678</v>
      </c>
    </row>
    <row r="50" spans="1:18">
      <c r="A50" s="821" t="s">
        <v>307</v>
      </c>
      <c r="B50" s="831"/>
      <c r="C50" s="696">
        <f ca="1">transport!B18</f>
        <v>1.6924267983076366</v>
      </c>
      <c r="D50" s="696">
        <f>transport!C18</f>
        <v>0</v>
      </c>
      <c r="E50" s="696">
        <f>transport!D18</f>
        <v>2.5324901470562016</v>
      </c>
      <c r="F50" s="696">
        <f>transport!E18</f>
        <v>98.657317436032258</v>
      </c>
      <c r="G50" s="696">
        <f>transport!F18</f>
        <v>0</v>
      </c>
      <c r="H50" s="696">
        <f>transport!G18</f>
        <v>33302.502872010125</v>
      </c>
      <c r="I50" s="696">
        <f>transport!H18</f>
        <v>4788.9971587624032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38194.382265153923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1.6924267983076366</v>
      </c>
      <c r="D52" s="725">
        <f t="shared" ref="D52:Q52" ca="1" si="6">SUM(D48:D51)</f>
        <v>0</v>
      </c>
      <c r="E52" s="725">
        <f t="shared" si="6"/>
        <v>2.5324901470562016</v>
      </c>
      <c r="F52" s="725">
        <f t="shared" si="6"/>
        <v>98.657317436032258</v>
      </c>
      <c r="G52" s="725">
        <f t="shared" si="6"/>
        <v>0</v>
      </c>
      <c r="H52" s="725">
        <f t="shared" si="6"/>
        <v>33559.498027209404</v>
      </c>
      <c r="I52" s="725">
        <f t="shared" si="6"/>
        <v>4788.9971587624032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38451.377420353201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1503.229121857903</v>
      </c>
      <c r="D54" s="696">
        <f ca="1">+landbouw!C12</f>
        <v>7950.1420012585886</v>
      </c>
      <c r="E54" s="696">
        <f>+landbouw!D12</f>
        <v>0</v>
      </c>
      <c r="F54" s="696">
        <f>+landbouw!E12</f>
        <v>20.032299869374409</v>
      </c>
      <c r="G54" s="696">
        <f>+landbouw!F12</f>
        <v>6451.3692489838068</v>
      </c>
      <c r="H54" s="696">
        <f>+landbouw!G12</f>
        <v>0</v>
      </c>
      <c r="I54" s="696">
        <f>+landbouw!H12</f>
        <v>0</v>
      </c>
      <c r="J54" s="696">
        <f>+landbouw!I12</f>
        <v>0</v>
      </c>
      <c r="K54" s="696">
        <f>+landbouw!J12</f>
        <v>372.82779388860632</v>
      </c>
      <c r="L54" s="696">
        <f>+landbouw!K12</f>
        <v>0</v>
      </c>
      <c r="M54" s="696">
        <f>+landbouw!L12</f>
        <v>0</v>
      </c>
      <c r="N54" s="696">
        <f>+landbouw!M12</f>
        <v>0</v>
      </c>
      <c r="O54" s="696">
        <f>+landbouw!N12</f>
        <v>0</v>
      </c>
      <c r="P54" s="696">
        <f>+landbouw!O12</f>
        <v>0</v>
      </c>
      <c r="Q54" s="697">
        <f>+landbouw!P12</f>
        <v>0</v>
      </c>
      <c r="R54" s="724">
        <f ca="1">SUM(C54:Q54)</f>
        <v>16297.600465858279</v>
      </c>
    </row>
    <row r="55" spans="1:18" ht="15" thickBot="1">
      <c r="A55" s="821" t="s">
        <v>872</v>
      </c>
      <c r="B55" s="831"/>
      <c r="C55" s="696">
        <f ca="1">C25*'EF ele_warmte'!B12</f>
        <v>98.64249655917493</v>
      </c>
      <c r="D55" s="696"/>
      <c r="E55" s="696">
        <f>E25*EF_CO2_aardgas</f>
        <v>170.97111472305912</v>
      </c>
      <c r="F55" s="696"/>
      <c r="G55" s="696"/>
      <c r="H55" s="696"/>
      <c r="I55" s="696"/>
      <c r="J55" s="696"/>
      <c r="K55" s="696"/>
      <c r="L55" s="696"/>
      <c r="M55" s="696"/>
      <c r="N55" s="696"/>
      <c r="O55" s="696"/>
      <c r="P55" s="696"/>
      <c r="Q55" s="697"/>
      <c r="R55" s="724">
        <f ca="1">SUM(C55:Q55)</f>
        <v>269.61361128223405</v>
      </c>
    </row>
    <row r="56" spans="1:18" ht="15.75" thickBot="1">
      <c r="A56" s="819" t="s">
        <v>873</v>
      </c>
      <c r="B56" s="832"/>
      <c r="C56" s="725">
        <f ca="1">SUM(C54:C55)</f>
        <v>1601.871618417078</v>
      </c>
      <c r="D56" s="725">
        <f t="shared" ref="D56:Q56" ca="1" si="7">SUM(D54:D55)</f>
        <v>7950.1420012585886</v>
      </c>
      <c r="E56" s="725">
        <f t="shared" si="7"/>
        <v>170.97111472305912</v>
      </c>
      <c r="F56" s="725">
        <f t="shared" si="7"/>
        <v>20.032299869374409</v>
      </c>
      <c r="G56" s="725">
        <f t="shared" si="7"/>
        <v>6451.3692489838068</v>
      </c>
      <c r="H56" s="725">
        <f t="shared" si="7"/>
        <v>0</v>
      </c>
      <c r="I56" s="725">
        <f t="shared" si="7"/>
        <v>0</v>
      </c>
      <c r="J56" s="725">
        <f t="shared" si="7"/>
        <v>0</v>
      </c>
      <c r="K56" s="725">
        <f t="shared" si="7"/>
        <v>372.82779388860632</v>
      </c>
      <c r="L56" s="725">
        <f t="shared" si="7"/>
        <v>0</v>
      </c>
      <c r="M56" s="725">
        <f t="shared" si="7"/>
        <v>0</v>
      </c>
      <c r="N56" s="725">
        <f t="shared" si="7"/>
        <v>0</v>
      </c>
      <c r="O56" s="725">
        <f t="shared" si="7"/>
        <v>0</v>
      </c>
      <c r="P56" s="725">
        <f t="shared" si="7"/>
        <v>0</v>
      </c>
      <c r="Q56" s="726">
        <f t="shared" si="7"/>
        <v>0</v>
      </c>
      <c r="R56" s="727">
        <f ca="1">SUM(R54:R55)</f>
        <v>16567.214077140514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52165.178948696062</v>
      </c>
      <c r="D61" s="733">
        <f t="shared" ref="D61:Q61" ca="1" si="8">D46+D52+D56</f>
        <v>8377.6953781512602</v>
      </c>
      <c r="E61" s="733">
        <f t="shared" ca="1" si="8"/>
        <v>39557.085316168144</v>
      </c>
      <c r="F61" s="733">
        <f t="shared" si="8"/>
        <v>4920.9217235519645</v>
      </c>
      <c r="G61" s="733">
        <f t="shared" ca="1" si="8"/>
        <v>67042.142043252999</v>
      </c>
      <c r="H61" s="733">
        <f t="shared" si="8"/>
        <v>33559.498027209404</v>
      </c>
      <c r="I61" s="733">
        <f t="shared" si="8"/>
        <v>4788.9971587624032</v>
      </c>
      <c r="J61" s="733">
        <f t="shared" si="8"/>
        <v>0</v>
      </c>
      <c r="K61" s="733">
        <f t="shared" si="8"/>
        <v>1515.6047588602096</v>
      </c>
      <c r="L61" s="733">
        <f t="shared" si="8"/>
        <v>0</v>
      </c>
      <c r="M61" s="733">
        <f t="shared" ca="1" si="8"/>
        <v>0</v>
      </c>
      <c r="N61" s="733">
        <f t="shared" si="8"/>
        <v>0</v>
      </c>
      <c r="O61" s="733">
        <f t="shared" ca="1" si="8"/>
        <v>0</v>
      </c>
      <c r="P61" s="733">
        <f t="shared" si="8"/>
        <v>0</v>
      </c>
      <c r="Q61" s="733">
        <f t="shared" si="8"/>
        <v>0</v>
      </c>
      <c r="R61" s="733">
        <f ca="1">R46+R52+R56</f>
        <v>211927.12335465249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0.21465211482825147</v>
      </c>
      <c r="D63" s="776">
        <f t="shared" ca="1" si="9"/>
        <v>0.22855086966389504</v>
      </c>
      <c r="E63" s="1011">
        <f t="shared" ca="1" si="9"/>
        <v>0.20200000000000001</v>
      </c>
      <c r="F63" s="776">
        <f t="shared" si="9"/>
        <v>0.22700000000000004</v>
      </c>
      <c r="G63" s="776">
        <f t="shared" ca="1" si="9"/>
        <v>0.26700000000000002</v>
      </c>
      <c r="H63" s="776">
        <f t="shared" si="9"/>
        <v>0.26699999999999996</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7857.1189999999997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982.125</v>
      </c>
      <c r="C76" s="743">
        <f>'lokale energieproductie'!B8*IFERROR(SUM(D76:H76)/SUM(D76:O76),0)</f>
        <v>24676.875</v>
      </c>
      <c r="D76" s="1021">
        <f>'lokale energieproductie'!C8</f>
        <v>29031.617647058822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1155.4411764705881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5864.3867647058823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8839.2439999999988</v>
      </c>
      <c r="C78" s="748">
        <f>SUM(C72:C77)</f>
        <v>24676.875</v>
      </c>
      <c r="D78" s="749">
        <f t="shared" ref="D78:H78" si="10">SUM(D76:D77)</f>
        <v>29031.617647058822</v>
      </c>
      <c r="E78" s="749">
        <f t="shared" si="10"/>
        <v>0</v>
      </c>
      <c r="F78" s="749">
        <f t="shared" si="10"/>
        <v>0</v>
      </c>
      <c r="G78" s="749">
        <f t="shared" si="10"/>
        <v>0</v>
      </c>
      <c r="H78" s="749">
        <f t="shared" si="10"/>
        <v>0</v>
      </c>
      <c r="I78" s="749">
        <f>SUM(I76:I77)</f>
        <v>0</v>
      </c>
      <c r="J78" s="749">
        <f>SUM(J76:J77)</f>
        <v>1155.4411764705881</v>
      </c>
      <c r="K78" s="749">
        <f t="shared" ref="K78:L78" si="11">SUM(K76:K77)</f>
        <v>0</v>
      </c>
      <c r="L78" s="749">
        <f t="shared" si="11"/>
        <v>0</v>
      </c>
      <c r="M78" s="749">
        <f>SUM(M76:M77)</f>
        <v>0</v>
      </c>
      <c r="N78" s="749">
        <f>SUM(N76:N77)</f>
        <v>0</v>
      </c>
      <c r="O78" s="856">
        <f>SUM(O76:O77)</f>
        <v>0</v>
      </c>
      <c r="P78" s="750">
        <v>0</v>
      </c>
      <c r="Q78" s="750">
        <f>SUM(Q76:Q77)</f>
        <v>5864.3867647058823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1403.0357142857144</v>
      </c>
      <c r="C87" s="759">
        <f>'lokale energieproductie'!B17*IFERROR(SUM(D87:H87)/SUM(D87:O87),0)</f>
        <v>35252.67857142858</v>
      </c>
      <c r="D87" s="770">
        <f>'lokale energieproductie'!C17</f>
        <v>41473.73949579832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1650.6302521008404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8377.6953781512602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1403.0357142857144</v>
      </c>
      <c r="C90" s="748">
        <f>SUM(C87:C89)</f>
        <v>35252.67857142858</v>
      </c>
      <c r="D90" s="748">
        <f t="shared" ref="D90:H90" si="12">SUM(D87:D89)</f>
        <v>41473.73949579832</v>
      </c>
      <c r="E90" s="748">
        <f t="shared" si="12"/>
        <v>0</v>
      </c>
      <c r="F90" s="748">
        <f t="shared" si="12"/>
        <v>0</v>
      </c>
      <c r="G90" s="748">
        <f t="shared" si="12"/>
        <v>0</v>
      </c>
      <c r="H90" s="748">
        <f t="shared" si="12"/>
        <v>0</v>
      </c>
      <c r="I90" s="748">
        <f>SUM(I87:I89)</f>
        <v>0</v>
      </c>
      <c r="J90" s="748">
        <f>SUM(J87:J89)</f>
        <v>1650.6302521008404</v>
      </c>
      <c r="K90" s="748">
        <f t="shared" ref="K90:L90" si="13">SUM(K87:K89)</f>
        <v>0</v>
      </c>
      <c r="L90" s="748">
        <f t="shared" si="13"/>
        <v>0</v>
      </c>
      <c r="M90" s="748">
        <f>SUM(M87:M89)</f>
        <v>0</v>
      </c>
      <c r="N90" s="748">
        <f>SUM(N87:N89)</f>
        <v>0</v>
      </c>
      <c r="O90" s="748">
        <f>SUM(O87:O89)</f>
        <v>0</v>
      </c>
      <c r="P90" s="748">
        <v>0</v>
      </c>
      <c r="Q90" s="748">
        <f>SUM(Q87:Q89)</f>
        <v>8377.6953781512602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7857.1189999999997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25659</v>
      </c>
      <c r="C8" s="560">
        <f>B101</f>
        <v>29031.617647058822</v>
      </c>
      <c r="D8" s="1028"/>
      <c r="E8" s="1028">
        <f>E101</f>
        <v>0</v>
      </c>
      <c r="F8" s="1029"/>
      <c r="G8" s="561"/>
      <c r="H8" s="1028">
        <f>I101</f>
        <v>0</v>
      </c>
      <c r="I8" s="1028">
        <f>G101+F101</f>
        <v>0</v>
      </c>
      <c r="J8" s="1028">
        <f>H101+D101+C101</f>
        <v>1155.4411764705881</v>
      </c>
      <c r="K8" s="1028"/>
      <c r="L8" s="1028"/>
      <c r="M8" s="1028"/>
      <c r="N8" s="562"/>
      <c r="O8" s="563">
        <f>C8*$C$12+D8*$D$12+E8*$E$12+F8*$F$12+G8*$G$12+H8*$H$12+I8*$I$12+J8*$J$12</f>
        <v>5864.3867647058823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33516.118999999999</v>
      </c>
      <c r="C10" s="573">
        <f t="shared" ref="C10:L10" si="0">SUM(C8:C9)</f>
        <v>29031.617647058822</v>
      </c>
      <c r="D10" s="573">
        <f t="shared" si="0"/>
        <v>0</v>
      </c>
      <c r="E10" s="573">
        <f t="shared" si="0"/>
        <v>0</v>
      </c>
      <c r="F10" s="573">
        <f t="shared" si="0"/>
        <v>0</v>
      </c>
      <c r="G10" s="573">
        <f t="shared" si="0"/>
        <v>0</v>
      </c>
      <c r="H10" s="573">
        <f t="shared" si="0"/>
        <v>0</v>
      </c>
      <c r="I10" s="573">
        <f t="shared" si="0"/>
        <v>0</v>
      </c>
      <c r="J10" s="573">
        <f t="shared" si="0"/>
        <v>1155.4411764705881</v>
      </c>
      <c r="K10" s="573">
        <f t="shared" si="0"/>
        <v>0</v>
      </c>
      <c r="L10" s="573">
        <f t="shared" si="0"/>
        <v>0</v>
      </c>
      <c r="M10" s="1031"/>
      <c r="N10" s="1031"/>
      <c r="O10" s="574">
        <f>SUM(O4:O9)</f>
        <v>5864.3867647058823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36655.71428571429</v>
      </c>
      <c r="C17" s="585">
        <f>B102</f>
        <v>41473.73949579832</v>
      </c>
      <c r="D17" s="586"/>
      <c r="E17" s="586">
        <f>E102</f>
        <v>0</v>
      </c>
      <c r="F17" s="1034"/>
      <c r="G17" s="587"/>
      <c r="H17" s="585">
        <f>I102</f>
        <v>0</v>
      </c>
      <c r="I17" s="586">
        <f>G102+F102</f>
        <v>0</v>
      </c>
      <c r="J17" s="586">
        <f>H102+D102+C102</f>
        <v>1650.6302521008404</v>
      </c>
      <c r="K17" s="586"/>
      <c r="L17" s="586"/>
      <c r="M17" s="586"/>
      <c r="N17" s="1035"/>
      <c r="O17" s="588">
        <f>C17*$C$22+E17*$E$22+H17*$H$22+I17*$I$22+J17*$J$22+D17*$D$22+F17*$F$22+G17*$G$22+K17*$K$22+L17*$L$22</f>
        <v>8377.6953781512602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36655.71428571429</v>
      </c>
      <c r="C20" s="572">
        <f>SUM(C17:C19)</f>
        <v>41473.73949579832</v>
      </c>
      <c r="D20" s="572">
        <f t="shared" ref="D20:L20" si="1">SUM(D17:D19)</f>
        <v>0</v>
      </c>
      <c r="E20" s="572">
        <f t="shared" si="1"/>
        <v>0</v>
      </c>
      <c r="F20" s="572">
        <f t="shared" si="1"/>
        <v>0</v>
      </c>
      <c r="G20" s="572">
        <f t="shared" si="1"/>
        <v>0</v>
      </c>
      <c r="H20" s="572">
        <f t="shared" si="1"/>
        <v>0</v>
      </c>
      <c r="I20" s="572">
        <f t="shared" si="1"/>
        <v>0</v>
      </c>
      <c r="J20" s="572">
        <f t="shared" si="1"/>
        <v>1650.6302521008404</v>
      </c>
      <c r="K20" s="572">
        <f t="shared" si="1"/>
        <v>0</v>
      </c>
      <c r="L20" s="572">
        <f t="shared" si="1"/>
        <v>0</v>
      </c>
      <c r="M20" s="572"/>
      <c r="N20" s="572"/>
      <c r="O20" s="592">
        <f>SUM(O17:O19)</f>
        <v>8377.6953781512602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37020</v>
      </c>
      <c r="C28" s="791">
        <v>8851</v>
      </c>
      <c r="D28" s="644" t="s">
        <v>913</v>
      </c>
      <c r="E28" s="643" t="s">
        <v>914</v>
      </c>
      <c r="F28" s="643" t="s">
        <v>915</v>
      </c>
      <c r="G28" s="643" t="s">
        <v>916</v>
      </c>
      <c r="H28" s="643" t="s">
        <v>917</v>
      </c>
      <c r="I28" s="643" t="s">
        <v>918</v>
      </c>
      <c r="J28" s="790">
        <v>38231</v>
      </c>
      <c r="K28" s="790">
        <v>38384</v>
      </c>
      <c r="L28" s="643" t="s">
        <v>919</v>
      </c>
      <c r="M28" s="643">
        <v>291</v>
      </c>
      <c r="N28" s="643">
        <v>1309.5</v>
      </c>
      <c r="O28" s="643">
        <v>1870.7142857142858</v>
      </c>
      <c r="P28" s="643">
        <v>935.35714285714289</v>
      </c>
      <c r="Q28" s="643">
        <v>2806.0714285714284</v>
      </c>
      <c r="R28" s="643">
        <v>0</v>
      </c>
      <c r="S28" s="643">
        <v>0</v>
      </c>
      <c r="T28" s="643">
        <v>0</v>
      </c>
      <c r="U28" s="643">
        <v>0</v>
      </c>
      <c r="V28" s="643">
        <v>0</v>
      </c>
      <c r="W28" s="643">
        <v>0</v>
      </c>
      <c r="X28" s="643">
        <v>500</v>
      </c>
      <c r="Y28" s="643" t="s">
        <v>41</v>
      </c>
      <c r="Z28" s="645" t="s">
        <v>390</v>
      </c>
    </row>
    <row r="29" spans="1:26" s="597" customFormat="1" ht="25.5">
      <c r="A29" s="596"/>
      <c r="B29" s="791">
        <v>37020</v>
      </c>
      <c r="C29" s="791">
        <v>8850</v>
      </c>
      <c r="D29" s="644" t="s">
        <v>920</v>
      </c>
      <c r="E29" s="643" t="s">
        <v>921</v>
      </c>
      <c r="F29" s="643" t="s">
        <v>922</v>
      </c>
      <c r="G29" s="643" t="s">
        <v>916</v>
      </c>
      <c r="H29" s="643" t="s">
        <v>917</v>
      </c>
      <c r="I29" s="643" t="s">
        <v>921</v>
      </c>
      <c r="J29" s="790">
        <v>39994</v>
      </c>
      <c r="K29" s="790">
        <v>39994</v>
      </c>
      <c r="L29" s="643" t="s">
        <v>919</v>
      </c>
      <c r="M29" s="643">
        <v>1925</v>
      </c>
      <c r="N29" s="643">
        <v>8662.5</v>
      </c>
      <c r="O29" s="643">
        <v>12375</v>
      </c>
      <c r="P29" s="643">
        <v>24750</v>
      </c>
      <c r="Q29" s="643">
        <v>0</v>
      </c>
      <c r="R29" s="643">
        <v>0</v>
      </c>
      <c r="S29" s="643">
        <v>0</v>
      </c>
      <c r="T29" s="643">
        <v>0</v>
      </c>
      <c r="U29" s="643">
        <v>0</v>
      </c>
      <c r="V29" s="643">
        <v>0</v>
      </c>
      <c r="W29" s="643">
        <v>0</v>
      </c>
      <c r="X29" s="643">
        <v>10</v>
      </c>
      <c r="Y29" s="643" t="s">
        <v>112</v>
      </c>
      <c r="Z29" s="645" t="s">
        <v>112</v>
      </c>
    </row>
    <row r="30" spans="1:26" s="597" customFormat="1" ht="25.5">
      <c r="A30" s="596"/>
      <c r="B30" s="791">
        <v>37020</v>
      </c>
      <c r="C30" s="791">
        <v>8850</v>
      </c>
      <c r="D30" s="644" t="s">
        <v>923</v>
      </c>
      <c r="E30" s="643" t="s">
        <v>924</v>
      </c>
      <c r="F30" s="643" t="s">
        <v>925</v>
      </c>
      <c r="G30" s="643" t="s">
        <v>916</v>
      </c>
      <c r="H30" s="643" t="s">
        <v>917</v>
      </c>
      <c r="I30" s="643" t="s">
        <v>926</v>
      </c>
      <c r="J30" s="790">
        <v>40909</v>
      </c>
      <c r="K30" s="790">
        <v>40953</v>
      </c>
      <c r="L30" s="643" t="s">
        <v>919</v>
      </c>
      <c r="M30" s="643">
        <v>2000</v>
      </c>
      <c r="N30" s="643">
        <v>9000</v>
      </c>
      <c r="O30" s="643">
        <v>12857.142857142857</v>
      </c>
      <c r="P30" s="643">
        <v>25714.285714285717</v>
      </c>
      <c r="Q30" s="643">
        <v>0</v>
      </c>
      <c r="R30" s="643">
        <v>0</v>
      </c>
      <c r="S30" s="643">
        <v>0</v>
      </c>
      <c r="T30" s="643">
        <v>0</v>
      </c>
      <c r="U30" s="643">
        <v>0</v>
      </c>
      <c r="V30" s="643">
        <v>0</v>
      </c>
      <c r="W30" s="643">
        <v>0</v>
      </c>
      <c r="X30" s="643">
        <v>10</v>
      </c>
      <c r="Y30" s="643" t="s">
        <v>112</v>
      </c>
      <c r="Z30" s="645" t="s">
        <v>112</v>
      </c>
    </row>
    <row r="31" spans="1:26" s="597" customFormat="1" ht="25.5">
      <c r="A31" s="596"/>
      <c r="B31" s="791">
        <v>37020</v>
      </c>
      <c r="C31" s="791">
        <v>8850</v>
      </c>
      <c r="D31" s="644" t="s">
        <v>927</v>
      </c>
      <c r="E31" s="643" t="s">
        <v>928</v>
      </c>
      <c r="F31" s="643" t="s">
        <v>929</v>
      </c>
      <c r="G31" s="643" t="s">
        <v>916</v>
      </c>
      <c r="H31" s="643" t="s">
        <v>917</v>
      </c>
      <c r="I31" s="643" t="s">
        <v>930</v>
      </c>
      <c r="J31" s="790">
        <v>41183</v>
      </c>
      <c r="K31" s="790">
        <v>41183</v>
      </c>
      <c r="L31" s="643" t="s">
        <v>919</v>
      </c>
      <c r="M31" s="643">
        <v>1486</v>
      </c>
      <c r="N31" s="643">
        <v>6687</v>
      </c>
      <c r="O31" s="643">
        <v>9552.8571428571431</v>
      </c>
      <c r="P31" s="643">
        <v>19105.714285714286</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5702</v>
      </c>
      <c r="N58" s="601">
        <f>SUM(N28:N57)</f>
        <v>25659</v>
      </c>
      <c r="O58" s="601">
        <f t="shared" ref="O58:W58" si="2">SUM(O28:O57)</f>
        <v>36655.71428571429</v>
      </c>
      <c r="P58" s="601">
        <f t="shared" si="2"/>
        <v>70505.357142857145</v>
      </c>
      <c r="Q58" s="601">
        <f t="shared" si="2"/>
        <v>2806.0714285714284</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291</v>
      </c>
      <c r="N59" s="601">
        <f t="shared" si="3"/>
        <v>1309.5</v>
      </c>
      <c r="O59" s="601">
        <f t="shared" si="3"/>
        <v>1870.7142857142858</v>
      </c>
      <c r="P59" s="601">
        <f t="shared" si="3"/>
        <v>935.35714285714289</v>
      </c>
      <c r="Q59" s="601">
        <f t="shared" si="3"/>
        <v>2806.0714285714284</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5411</v>
      </c>
      <c r="N61" s="606">
        <f t="shared" si="4"/>
        <v>24349.5</v>
      </c>
      <c r="O61" s="606">
        <f t="shared" si="4"/>
        <v>34785</v>
      </c>
      <c r="P61" s="606">
        <f t="shared" si="4"/>
        <v>69570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29031.617647058822</v>
      </c>
      <c r="C101" s="635">
        <f t="shared" si="9"/>
        <v>1155.4411764705881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41473.73949579832</v>
      </c>
      <c r="C102" s="638">
        <f t="shared" si="10"/>
        <v>1650.6302521008404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16199.256658393599</v>
      </c>
      <c r="C4" s="462">
        <f>huishoudens!C8</f>
        <v>0</v>
      </c>
      <c r="D4" s="462">
        <f>huishoudens!D8</f>
        <v>34160.695004260175</v>
      </c>
      <c r="E4" s="462">
        <f>huishoudens!E8</f>
        <v>5837.3299712884955</v>
      </c>
      <c r="F4" s="462">
        <f>huishoudens!F8</f>
        <v>19162.39714281428</v>
      </c>
      <c r="G4" s="462">
        <f>huishoudens!G8</f>
        <v>0</v>
      </c>
      <c r="H4" s="462">
        <f>huishoudens!H8</f>
        <v>0</v>
      </c>
      <c r="I4" s="462">
        <f>huishoudens!I8</f>
        <v>0</v>
      </c>
      <c r="J4" s="462">
        <f>huishoudens!J8</f>
        <v>3018.6841315348602</v>
      </c>
      <c r="K4" s="462">
        <f>huishoudens!K8</f>
        <v>0</v>
      </c>
      <c r="L4" s="462">
        <f>huishoudens!L8</f>
        <v>0</v>
      </c>
      <c r="M4" s="462">
        <f>huishoudens!M8</f>
        <v>0</v>
      </c>
      <c r="N4" s="462">
        <f>huishoudens!N8</f>
        <v>13130.235669006606</v>
      </c>
      <c r="O4" s="462">
        <f>huishoudens!O8</f>
        <v>140.70000000000002</v>
      </c>
      <c r="P4" s="463">
        <f>huishoudens!P8</f>
        <v>247.86666666666667</v>
      </c>
      <c r="Q4" s="464">
        <f>SUM(B4:P4)</f>
        <v>91897.165243964686</v>
      </c>
    </row>
    <row r="5" spans="1:17">
      <c r="A5" s="461" t="s">
        <v>156</v>
      </c>
      <c r="B5" s="462">
        <f ca="1">tertiair!B16</f>
        <v>9621.3127229831262</v>
      </c>
      <c r="C5" s="462">
        <f ca="1">tertiair!C16</f>
        <v>0</v>
      </c>
      <c r="D5" s="462">
        <f ca="1">tertiair!D16</f>
        <v>60903.119760029833</v>
      </c>
      <c r="E5" s="462">
        <f>tertiair!E16</f>
        <v>138.40850240770072</v>
      </c>
      <c r="F5" s="462">
        <f ca="1">tertiair!F16</f>
        <v>1856.5474774265822</v>
      </c>
      <c r="G5" s="462">
        <f>tertiair!G16</f>
        <v>0</v>
      </c>
      <c r="H5" s="462">
        <f>tertiair!H16</f>
        <v>0</v>
      </c>
      <c r="I5" s="462">
        <f>tertiair!I16</f>
        <v>0</v>
      </c>
      <c r="J5" s="462">
        <f>tertiair!J16</f>
        <v>0</v>
      </c>
      <c r="K5" s="462">
        <f>tertiair!K16</f>
        <v>0</v>
      </c>
      <c r="L5" s="462">
        <f ca="1">tertiair!L16</f>
        <v>0</v>
      </c>
      <c r="M5" s="462">
        <f>tertiair!M16</f>
        <v>0</v>
      </c>
      <c r="N5" s="462">
        <f ca="1">tertiair!N16</f>
        <v>574.85865382399288</v>
      </c>
      <c r="O5" s="462">
        <f>tertiair!O16</f>
        <v>0</v>
      </c>
      <c r="P5" s="463">
        <f>tertiair!P16</f>
        <v>38.133333333333333</v>
      </c>
      <c r="Q5" s="461">
        <f t="shared" ref="Q5:Q14" ca="1" si="0">SUM(B5:P5)</f>
        <v>73132.380450004566</v>
      </c>
    </row>
    <row r="6" spans="1:17">
      <c r="A6" s="461" t="s">
        <v>194</v>
      </c>
      <c r="B6" s="462">
        <f>'openbare verlichting'!B8</f>
        <v>635.39400000000001</v>
      </c>
      <c r="C6" s="462"/>
      <c r="D6" s="462"/>
      <c r="E6" s="462"/>
      <c r="F6" s="462"/>
      <c r="G6" s="462"/>
      <c r="H6" s="462"/>
      <c r="I6" s="462"/>
      <c r="J6" s="462"/>
      <c r="K6" s="462"/>
      <c r="L6" s="462"/>
      <c r="M6" s="462"/>
      <c r="N6" s="462"/>
      <c r="O6" s="462"/>
      <c r="P6" s="463"/>
      <c r="Q6" s="461">
        <f t="shared" si="0"/>
        <v>635.39400000000001</v>
      </c>
    </row>
    <row r="7" spans="1:17">
      <c r="A7" s="461" t="s">
        <v>112</v>
      </c>
      <c r="B7" s="462">
        <f>landbouw!B8</f>
        <v>7003.0948591430106</v>
      </c>
      <c r="C7" s="462">
        <f>landbouw!C8</f>
        <v>34785</v>
      </c>
      <c r="D7" s="462">
        <f>landbouw!D8</f>
        <v>0</v>
      </c>
      <c r="E7" s="462">
        <f>landbouw!E8</f>
        <v>88.248017045702241</v>
      </c>
      <c r="F7" s="462">
        <f>landbouw!F8</f>
        <v>24162.431644134107</v>
      </c>
      <c r="G7" s="462">
        <f>landbouw!G8</f>
        <v>0</v>
      </c>
      <c r="H7" s="462">
        <f>landbouw!H8</f>
        <v>0</v>
      </c>
      <c r="I7" s="462">
        <f>landbouw!I8</f>
        <v>0</v>
      </c>
      <c r="J7" s="462">
        <f>landbouw!J8</f>
        <v>1053.1858584423908</v>
      </c>
      <c r="K7" s="462">
        <f>landbouw!K8</f>
        <v>0</v>
      </c>
      <c r="L7" s="462">
        <f>landbouw!L8</f>
        <v>0</v>
      </c>
      <c r="M7" s="462">
        <f>landbouw!M8</f>
        <v>0</v>
      </c>
      <c r="N7" s="462">
        <f>landbouw!N8</f>
        <v>0</v>
      </c>
      <c r="O7" s="462">
        <f>landbouw!O8</f>
        <v>0</v>
      </c>
      <c r="P7" s="463">
        <f>landbouw!P8</f>
        <v>0</v>
      </c>
      <c r="Q7" s="461">
        <f t="shared" si="0"/>
        <v>67091.960378765216</v>
      </c>
    </row>
    <row r="8" spans="1:17">
      <c r="A8" s="461" t="s">
        <v>657</v>
      </c>
      <c r="B8" s="462">
        <f>industrie!B18</f>
        <v>209095.47734836541</v>
      </c>
      <c r="C8" s="462">
        <f>industrie!C18</f>
        <v>1870.7142857142858</v>
      </c>
      <c r="D8" s="462">
        <f>industrie!D18</f>
        <v>99904.411529264573</v>
      </c>
      <c r="E8" s="462">
        <f>industrie!E18</f>
        <v>15179.469042808461</v>
      </c>
      <c r="F8" s="462">
        <f>industrie!F18</f>
        <v>205912.78869162878</v>
      </c>
      <c r="G8" s="462">
        <f>industrie!G18</f>
        <v>0</v>
      </c>
      <c r="H8" s="462">
        <f>industrie!H18</f>
        <v>0</v>
      </c>
      <c r="I8" s="462">
        <f>industrie!I18</f>
        <v>0</v>
      </c>
      <c r="J8" s="462">
        <f>industrie!J18</f>
        <v>209.49938533407641</v>
      </c>
      <c r="K8" s="462">
        <f>industrie!K18</f>
        <v>0</v>
      </c>
      <c r="L8" s="462">
        <f>industrie!L18</f>
        <v>0</v>
      </c>
      <c r="M8" s="462">
        <f>industrie!M18</f>
        <v>0</v>
      </c>
      <c r="N8" s="462">
        <f>industrie!N18</f>
        <v>50198.350121610936</v>
      </c>
      <c r="O8" s="462">
        <f>industrie!O18</f>
        <v>0</v>
      </c>
      <c r="P8" s="463">
        <f>industrie!P18</f>
        <v>0</v>
      </c>
      <c r="Q8" s="461">
        <f t="shared" si="0"/>
        <v>582370.71040472656</v>
      </c>
    </row>
    <row r="9" spans="1:17" s="467" customFormat="1">
      <c r="A9" s="465" t="s">
        <v>574</v>
      </c>
      <c r="B9" s="466">
        <f>transport!B14</f>
        <v>7.8845102442237271</v>
      </c>
      <c r="C9" s="466">
        <f>transport!C14</f>
        <v>0</v>
      </c>
      <c r="D9" s="466">
        <f>transport!D14</f>
        <v>12.537079935921788</v>
      </c>
      <c r="E9" s="466">
        <f>transport!E14</f>
        <v>434.61373319837998</v>
      </c>
      <c r="F9" s="466">
        <f>transport!F14</f>
        <v>0</v>
      </c>
      <c r="G9" s="466">
        <f>transport!G14</f>
        <v>124728.47517606789</v>
      </c>
      <c r="H9" s="466">
        <f>transport!H14</f>
        <v>19232.92031631487</v>
      </c>
      <c r="I9" s="466">
        <f>transport!I14</f>
        <v>0</v>
      </c>
      <c r="J9" s="466">
        <f>transport!J14</f>
        <v>0</v>
      </c>
      <c r="K9" s="466">
        <f>transport!K14</f>
        <v>0</v>
      </c>
      <c r="L9" s="466">
        <f>transport!L14</f>
        <v>0</v>
      </c>
      <c r="M9" s="466">
        <f>transport!M14</f>
        <v>6506.2514653160079</v>
      </c>
      <c r="N9" s="466">
        <f>transport!N14</f>
        <v>0</v>
      </c>
      <c r="O9" s="466">
        <f>transport!O14</f>
        <v>0</v>
      </c>
      <c r="P9" s="466">
        <f>transport!P14</f>
        <v>0</v>
      </c>
      <c r="Q9" s="465">
        <f>SUM(B9:P9)</f>
        <v>150922.68228107732</v>
      </c>
    </row>
    <row r="10" spans="1:17">
      <c r="A10" s="461" t="s">
        <v>564</v>
      </c>
      <c r="B10" s="462">
        <f>transport!B54</f>
        <v>0</v>
      </c>
      <c r="C10" s="462">
        <f>transport!C54</f>
        <v>0</v>
      </c>
      <c r="D10" s="462">
        <f>transport!D54</f>
        <v>0</v>
      </c>
      <c r="E10" s="462">
        <f>transport!E54</f>
        <v>0</v>
      </c>
      <c r="F10" s="462">
        <f>transport!F54</f>
        <v>0</v>
      </c>
      <c r="G10" s="462">
        <f>transport!G54</f>
        <v>962.52867115833999</v>
      </c>
      <c r="H10" s="462">
        <f>transport!H54</f>
        <v>0</v>
      </c>
      <c r="I10" s="462">
        <f>transport!I54</f>
        <v>0</v>
      </c>
      <c r="J10" s="462">
        <f>transport!J54</f>
        <v>0</v>
      </c>
      <c r="K10" s="462">
        <f>transport!K54</f>
        <v>0</v>
      </c>
      <c r="L10" s="462">
        <f>transport!L54</f>
        <v>0</v>
      </c>
      <c r="M10" s="462">
        <f>transport!M54</f>
        <v>42.806004271052842</v>
      </c>
      <c r="N10" s="462">
        <f>transport!N54</f>
        <v>0</v>
      </c>
      <c r="O10" s="462">
        <f>transport!O54</f>
        <v>0</v>
      </c>
      <c r="P10" s="463">
        <f>transport!P54</f>
        <v>0</v>
      </c>
      <c r="Q10" s="461">
        <f t="shared" si="0"/>
        <v>1005.3346754293929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459.545887251571</v>
      </c>
      <c r="C14" s="469"/>
      <c r="D14" s="469">
        <f>'SEAP template'!E25</f>
        <v>846.39165704484708</v>
      </c>
      <c r="E14" s="469"/>
      <c r="F14" s="469"/>
      <c r="G14" s="469"/>
      <c r="H14" s="469"/>
      <c r="I14" s="469"/>
      <c r="J14" s="469"/>
      <c r="K14" s="469"/>
      <c r="L14" s="469"/>
      <c r="M14" s="469"/>
      <c r="N14" s="469"/>
      <c r="O14" s="469"/>
      <c r="P14" s="470"/>
      <c r="Q14" s="461">
        <f t="shared" si="0"/>
        <v>1305.9375442964181</v>
      </c>
    </row>
    <row r="15" spans="1:17" s="474" customFormat="1">
      <c r="A15" s="471" t="s">
        <v>568</v>
      </c>
      <c r="B15" s="472">
        <f ca="1">SUM(B4:B14)</f>
        <v>243021.96598638091</v>
      </c>
      <c r="C15" s="472">
        <f t="shared" ref="C15:Q15" ca="1" si="1">SUM(C4:C14)</f>
        <v>36655.714285714283</v>
      </c>
      <c r="D15" s="472">
        <f t="shared" ca="1" si="1"/>
        <v>195827.15503053536</v>
      </c>
      <c r="E15" s="472">
        <f t="shared" si="1"/>
        <v>21678.069266748742</v>
      </c>
      <c r="F15" s="472">
        <f t="shared" ca="1" si="1"/>
        <v>251094.16495600375</v>
      </c>
      <c r="G15" s="472">
        <f t="shared" si="1"/>
        <v>125691.00384722624</v>
      </c>
      <c r="H15" s="472">
        <f t="shared" si="1"/>
        <v>19232.92031631487</v>
      </c>
      <c r="I15" s="472">
        <f t="shared" si="1"/>
        <v>0</v>
      </c>
      <c r="J15" s="472">
        <f t="shared" si="1"/>
        <v>4281.3693753113275</v>
      </c>
      <c r="K15" s="472">
        <f t="shared" si="1"/>
        <v>0</v>
      </c>
      <c r="L15" s="472">
        <f t="shared" ca="1" si="1"/>
        <v>0</v>
      </c>
      <c r="M15" s="472">
        <f t="shared" si="1"/>
        <v>6549.057469587061</v>
      </c>
      <c r="N15" s="472">
        <f t="shared" ca="1" si="1"/>
        <v>63903.444444441535</v>
      </c>
      <c r="O15" s="472">
        <f t="shared" si="1"/>
        <v>140.70000000000002</v>
      </c>
      <c r="P15" s="472">
        <f t="shared" si="1"/>
        <v>286</v>
      </c>
      <c r="Q15" s="472">
        <f t="shared" ca="1" si="1"/>
        <v>968361.56497826416</v>
      </c>
    </row>
    <row r="17" spans="1:17">
      <c r="A17" s="475" t="s">
        <v>569</v>
      </c>
      <c r="B17" s="781">
        <f ca="1">huishoudens!B10</f>
        <v>0.21465211482825147</v>
      </c>
      <c r="C17" s="781">
        <f ca="1">huishoudens!C10</f>
        <v>0.22855086966389504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3477.2047003698199</v>
      </c>
      <c r="C22" s="462">
        <f t="shared" ref="C22:C32" ca="1" si="3">C4*$C$17</f>
        <v>0</v>
      </c>
      <c r="D22" s="462">
        <f t="shared" ref="D22:D32" si="4">D4*$D$17</f>
        <v>6900.4603908605559</v>
      </c>
      <c r="E22" s="462">
        <f t="shared" ref="E22:E32" si="5">E4*$E$17</f>
        <v>1325.0739034824885</v>
      </c>
      <c r="F22" s="462">
        <f t="shared" ref="F22:F32" si="6">F4*$F$17</f>
        <v>5116.3600371314133</v>
      </c>
      <c r="G22" s="462">
        <f t="shared" ref="G22:G32" si="7">G4*$G$17</f>
        <v>0</v>
      </c>
      <c r="H22" s="462">
        <f t="shared" ref="H22:H32" si="8">H4*$H$17</f>
        <v>0</v>
      </c>
      <c r="I22" s="462">
        <f t="shared" ref="I22:I32" si="9">I4*$I$17</f>
        <v>0</v>
      </c>
      <c r="J22" s="462">
        <f t="shared" ref="J22:J32" si="10">J4*$J$17</f>
        <v>1068.6141825633404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17887.713214407617</v>
      </c>
    </row>
    <row r="23" spans="1:17">
      <c r="A23" s="461" t="s">
        <v>156</v>
      </c>
      <c r="B23" s="462">
        <f t="shared" ca="1" si="2"/>
        <v>2065.2351234122907</v>
      </c>
      <c r="C23" s="462">
        <f t="shared" ca="1" si="3"/>
        <v>0</v>
      </c>
      <c r="D23" s="462">
        <f t="shared" ca="1" si="4"/>
        <v>12302.430191526028</v>
      </c>
      <c r="E23" s="462">
        <f t="shared" si="5"/>
        <v>31.418730046548067</v>
      </c>
      <c r="F23" s="462">
        <f t="shared" ca="1" si="6"/>
        <v>495.6981764728975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14894.782221457763</v>
      </c>
    </row>
    <row r="24" spans="1:17">
      <c r="A24" s="461" t="s">
        <v>194</v>
      </c>
      <c r="B24" s="462">
        <f t="shared" ca="1" si="2"/>
        <v>136.38866584918202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136.38866584918202</v>
      </c>
    </row>
    <row r="25" spans="1:17">
      <c r="A25" s="461" t="s">
        <v>112</v>
      </c>
      <c r="B25" s="462">
        <f t="shared" ca="1" si="2"/>
        <v>1503.229121857903</v>
      </c>
      <c r="C25" s="462">
        <f t="shared" ca="1" si="3"/>
        <v>7950.1420012585886</v>
      </c>
      <c r="D25" s="462">
        <f t="shared" si="4"/>
        <v>0</v>
      </c>
      <c r="E25" s="462">
        <f t="shared" si="5"/>
        <v>20.032299869374409</v>
      </c>
      <c r="F25" s="462">
        <f t="shared" si="6"/>
        <v>6451.3692489838068</v>
      </c>
      <c r="G25" s="462">
        <f t="shared" si="7"/>
        <v>0</v>
      </c>
      <c r="H25" s="462">
        <f t="shared" si="8"/>
        <v>0</v>
      </c>
      <c r="I25" s="462">
        <f t="shared" si="9"/>
        <v>0</v>
      </c>
      <c r="J25" s="462">
        <f t="shared" si="10"/>
        <v>372.82779388860632</v>
      </c>
      <c r="K25" s="462">
        <f t="shared" si="11"/>
        <v>0</v>
      </c>
      <c r="L25" s="462">
        <f t="shared" si="12"/>
        <v>0</v>
      </c>
      <c r="M25" s="462">
        <f t="shared" si="13"/>
        <v>0</v>
      </c>
      <c r="N25" s="462">
        <f t="shared" si="14"/>
        <v>0</v>
      </c>
      <c r="O25" s="462">
        <f t="shared" si="15"/>
        <v>0</v>
      </c>
      <c r="P25" s="463">
        <f t="shared" si="16"/>
        <v>0</v>
      </c>
      <c r="Q25" s="461">
        <f t="shared" ca="1" si="17"/>
        <v>16297.600465858279</v>
      </c>
    </row>
    <row r="26" spans="1:17">
      <c r="A26" s="461" t="s">
        <v>657</v>
      </c>
      <c r="B26" s="462">
        <f t="shared" ca="1" si="2"/>
        <v>44882.78641384939</v>
      </c>
      <c r="C26" s="462">
        <f t="shared" ca="1" si="3"/>
        <v>427.55337689267225</v>
      </c>
      <c r="D26" s="462">
        <f t="shared" si="4"/>
        <v>20180.691128911443</v>
      </c>
      <c r="E26" s="462">
        <f t="shared" si="5"/>
        <v>3445.739472717521</v>
      </c>
      <c r="F26" s="462">
        <f t="shared" si="6"/>
        <v>54978.714580664891</v>
      </c>
      <c r="G26" s="462">
        <f t="shared" si="7"/>
        <v>0</v>
      </c>
      <c r="H26" s="462">
        <f t="shared" si="8"/>
        <v>0</v>
      </c>
      <c r="I26" s="462">
        <f t="shared" si="9"/>
        <v>0</v>
      </c>
      <c r="J26" s="462">
        <f t="shared" si="10"/>
        <v>74.162782408263041</v>
      </c>
      <c r="K26" s="462">
        <f t="shared" si="11"/>
        <v>0</v>
      </c>
      <c r="L26" s="462">
        <f t="shared" si="12"/>
        <v>0</v>
      </c>
      <c r="M26" s="462">
        <f t="shared" si="13"/>
        <v>0</v>
      </c>
      <c r="N26" s="462">
        <f t="shared" si="14"/>
        <v>0</v>
      </c>
      <c r="O26" s="462">
        <f t="shared" si="15"/>
        <v>0</v>
      </c>
      <c r="P26" s="463">
        <f t="shared" si="16"/>
        <v>0</v>
      </c>
      <c r="Q26" s="461">
        <f t="shared" ca="1" si="17"/>
        <v>123989.64775544418</v>
      </c>
    </row>
    <row r="27" spans="1:17" s="467" customFormat="1">
      <c r="A27" s="465" t="s">
        <v>574</v>
      </c>
      <c r="B27" s="775">
        <f t="shared" ca="1" si="2"/>
        <v>1.6924267983076366</v>
      </c>
      <c r="C27" s="466">
        <f t="shared" ca="1" si="3"/>
        <v>0</v>
      </c>
      <c r="D27" s="466">
        <f t="shared" si="4"/>
        <v>2.5324901470562016</v>
      </c>
      <c r="E27" s="466">
        <f t="shared" si="5"/>
        <v>98.657317436032258</v>
      </c>
      <c r="F27" s="466">
        <f t="shared" si="6"/>
        <v>0</v>
      </c>
      <c r="G27" s="466">
        <f t="shared" si="7"/>
        <v>33302.502872010125</v>
      </c>
      <c r="H27" s="466">
        <f t="shared" si="8"/>
        <v>4788.9971587624032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38194.382265153923</v>
      </c>
    </row>
    <row r="28" spans="1:17">
      <c r="A28" s="461" t="s">
        <v>564</v>
      </c>
      <c r="B28" s="462">
        <f t="shared" ca="1" si="2"/>
        <v>0</v>
      </c>
      <c r="C28" s="462">
        <f t="shared" ca="1" si="3"/>
        <v>0</v>
      </c>
      <c r="D28" s="462">
        <f t="shared" si="4"/>
        <v>0</v>
      </c>
      <c r="E28" s="462">
        <f t="shared" si="5"/>
        <v>0</v>
      </c>
      <c r="F28" s="462">
        <f t="shared" si="6"/>
        <v>0</v>
      </c>
      <c r="G28" s="462">
        <f t="shared" si="7"/>
        <v>256.99515519927678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256.99515519927678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98.64249655917493</v>
      </c>
      <c r="C32" s="462">
        <f t="shared" ca="1" si="3"/>
        <v>0</v>
      </c>
      <c r="D32" s="462">
        <f t="shared" si="4"/>
        <v>170.97111472305912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269.61361128223405</v>
      </c>
    </row>
    <row r="33" spans="1:17" s="474" customFormat="1">
      <c r="A33" s="471" t="s">
        <v>568</v>
      </c>
      <c r="B33" s="472">
        <f ca="1">SUM(B22:B32)</f>
        <v>52165.178948696062</v>
      </c>
      <c r="C33" s="472">
        <f t="shared" ref="C33:Q33" ca="1" si="18">SUM(C22:C32)</f>
        <v>8377.6953781512602</v>
      </c>
      <c r="D33" s="472">
        <f t="shared" ca="1" si="18"/>
        <v>39557.085316168144</v>
      </c>
      <c r="E33" s="472">
        <f t="shared" si="18"/>
        <v>4920.9217235519636</v>
      </c>
      <c r="F33" s="472">
        <f t="shared" ca="1" si="18"/>
        <v>67042.142043253014</v>
      </c>
      <c r="G33" s="472">
        <f t="shared" si="18"/>
        <v>33559.498027209404</v>
      </c>
      <c r="H33" s="472">
        <f t="shared" si="18"/>
        <v>4788.9971587624032</v>
      </c>
      <c r="I33" s="472">
        <f t="shared" si="18"/>
        <v>0</v>
      </c>
      <c r="J33" s="472">
        <f t="shared" si="18"/>
        <v>1515.6047588602096</v>
      </c>
      <c r="K33" s="472">
        <f t="shared" si="18"/>
        <v>0</v>
      </c>
      <c r="L33" s="472">
        <f t="shared" ca="1" si="18"/>
        <v>0</v>
      </c>
      <c r="M33" s="472">
        <f t="shared" si="18"/>
        <v>0</v>
      </c>
      <c r="N33" s="472">
        <f t="shared" ca="1" si="18"/>
        <v>0</v>
      </c>
      <c r="O33" s="472">
        <f t="shared" si="18"/>
        <v>0</v>
      </c>
      <c r="P33" s="472">
        <f t="shared" si="18"/>
        <v>0</v>
      </c>
      <c r="Q33" s="472">
        <f t="shared" ca="1" si="18"/>
        <v>211927.12335465246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7857.1189999999997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982.125</v>
      </c>
      <c r="C8" s="1047">
        <f>'SEAP template'!C76</f>
        <v>24676.875</v>
      </c>
      <c r="D8" s="1047">
        <f>'SEAP template'!D76</f>
        <v>29031.617647058822</v>
      </c>
      <c r="E8" s="1047">
        <f>'SEAP template'!E76</f>
        <v>0</v>
      </c>
      <c r="F8" s="1047">
        <f>'SEAP template'!F76</f>
        <v>0</v>
      </c>
      <c r="G8" s="1047">
        <f>'SEAP template'!G76</f>
        <v>0</v>
      </c>
      <c r="H8" s="1047">
        <f>'SEAP template'!H76</f>
        <v>0</v>
      </c>
      <c r="I8" s="1047">
        <f>'SEAP template'!I76</f>
        <v>0</v>
      </c>
      <c r="J8" s="1047">
        <f>'SEAP template'!J76</f>
        <v>1155.4411764705881</v>
      </c>
      <c r="K8" s="1047">
        <f>'SEAP template'!K76</f>
        <v>0</v>
      </c>
      <c r="L8" s="1047">
        <f>'SEAP template'!L76</f>
        <v>0</v>
      </c>
      <c r="M8" s="1047">
        <f>'SEAP template'!M76</f>
        <v>0</v>
      </c>
      <c r="N8" s="1047">
        <f>'SEAP template'!N76</f>
        <v>0</v>
      </c>
      <c r="O8" s="1047">
        <f>'SEAP template'!O76</f>
        <v>0</v>
      </c>
      <c r="P8" s="1048">
        <f>'SEAP template'!Q76</f>
        <v>5864.3867647058823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8839.2439999999988</v>
      </c>
      <c r="C10" s="1051">
        <f>SUM(C4:C9)</f>
        <v>24676.875</v>
      </c>
      <c r="D10" s="1051">
        <f t="shared" ref="D10:H10" si="0">SUM(D8:D9)</f>
        <v>29031.617647058822</v>
      </c>
      <c r="E10" s="1051">
        <f t="shared" si="0"/>
        <v>0</v>
      </c>
      <c r="F10" s="1051">
        <f t="shared" si="0"/>
        <v>0</v>
      </c>
      <c r="G10" s="1051">
        <f t="shared" si="0"/>
        <v>0</v>
      </c>
      <c r="H10" s="1051">
        <f t="shared" si="0"/>
        <v>0</v>
      </c>
      <c r="I10" s="1051">
        <f>SUM(I8:I9)</f>
        <v>0</v>
      </c>
      <c r="J10" s="1051">
        <f>SUM(J8:J9)</f>
        <v>1155.4411764705881</v>
      </c>
      <c r="K10" s="1051">
        <f t="shared" ref="K10:L10" si="1">SUM(K8:K9)</f>
        <v>0</v>
      </c>
      <c r="L10" s="1051">
        <f t="shared" si="1"/>
        <v>0</v>
      </c>
      <c r="M10" s="1051">
        <f>SUM(M8:M9)</f>
        <v>0</v>
      </c>
      <c r="N10" s="1051">
        <f>SUM(N8:N9)</f>
        <v>0</v>
      </c>
      <c r="O10" s="1051">
        <f>SUM(O8:O9)</f>
        <v>0</v>
      </c>
      <c r="P10" s="1051">
        <f>SUM(P8:P9)</f>
        <v>5864.3867647058823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0.21465211482825147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1403.0357142857144</v>
      </c>
      <c r="C17" s="1053">
        <f>'SEAP template'!C87</f>
        <v>35252.67857142858</v>
      </c>
      <c r="D17" s="1048">
        <f>'SEAP template'!D87</f>
        <v>41473.73949579832</v>
      </c>
      <c r="E17" s="1048">
        <f>'SEAP template'!E87</f>
        <v>0</v>
      </c>
      <c r="F17" s="1048">
        <f>'SEAP template'!F87</f>
        <v>0</v>
      </c>
      <c r="G17" s="1048">
        <f>'SEAP template'!G87</f>
        <v>0</v>
      </c>
      <c r="H17" s="1048">
        <f>'SEAP template'!H87</f>
        <v>0</v>
      </c>
      <c r="I17" s="1048">
        <f>'SEAP template'!I87</f>
        <v>0</v>
      </c>
      <c r="J17" s="1048">
        <f>'SEAP template'!J87</f>
        <v>1650.6302521008404</v>
      </c>
      <c r="K17" s="1048">
        <f>'SEAP template'!K87</f>
        <v>0</v>
      </c>
      <c r="L17" s="1048">
        <f>'SEAP template'!L87</f>
        <v>0</v>
      </c>
      <c r="M17" s="1048">
        <f>'SEAP template'!M87</f>
        <v>0</v>
      </c>
      <c r="N17" s="1048">
        <f>'SEAP template'!N87</f>
        <v>0</v>
      </c>
      <c r="O17" s="1048">
        <f>'SEAP template'!O87</f>
        <v>0</v>
      </c>
      <c r="P17" s="1048">
        <f>'SEAP template'!Q87</f>
        <v>8377.6953781512602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1403.0357142857144</v>
      </c>
      <c r="C20" s="1051">
        <f>SUM(C17:C19)</f>
        <v>35252.67857142858</v>
      </c>
      <c r="D20" s="1051">
        <f t="shared" ref="D20:H20" si="2">SUM(D17:D19)</f>
        <v>41473.73949579832</v>
      </c>
      <c r="E20" s="1051">
        <f t="shared" si="2"/>
        <v>0</v>
      </c>
      <c r="F20" s="1051">
        <f t="shared" si="2"/>
        <v>0</v>
      </c>
      <c r="G20" s="1051">
        <f t="shared" si="2"/>
        <v>0</v>
      </c>
      <c r="H20" s="1051">
        <f t="shared" si="2"/>
        <v>0</v>
      </c>
      <c r="I20" s="1051">
        <f>SUM(I17:I19)</f>
        <v>0</v>
      </c>
      <c r="J20" s="1051">
        <f>SUM(J17:J19)</f>
        <v>1650.6302521008404</v>
      </c>
      <c r="K20" s="1051">
        <f t="shared" ref="K20:L20" si="3">SUM(K17:K19)</f>
        <v>0</v>
      </c>
      <c r="L20" s="1051">
        <f t="shared" si="3"/>
        <v>0</v>
      </c>
      <c r="M20" s="1051">
        <f>SUM(M17:M19)</f>
        <v>0</v>
      </c>
      <c r="N20" s="1051">
        <f>SUM(N17:N19)</f>
        <v>0</v>
      </c>
      <c r="O20" s="1051">
        <f>SUM(O17:O19)</f>
        <v>0</v>
      </c>
      <c r="P20" s="1051">
        <f>SUM(P17:P19)</f>
        <v>8377.6953781512602</v>
      </c>
    </row>
    <row r="22" spans="1:16">
      <c r="A22" s="475" t="s">
        <v>895</v>
      </c>
      <c r="B22" s="781" t="s">
        <v>889</v>
      </c>
      <c r="C22" s="781">
        <f ca="1">'EF ele_warmte'!B22</f>
        <v>0.22855086966389504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0.21465211482825147</v>
      </c>
      <c r="C17" s="512">
        <f ca="1">'EF ele_warmte'!B22</f>
        <v>0.22855086966389504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2019-08-12T08:03:28Z</dcterms:modified>
</cp:coreProperties>
</file>