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<sst xmlns="http://schemas.openxmlformats.org/spreadsheetml/2006/main" count="2441" uniqueCount="919">
  <si>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</si>
  <si>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</si>
  <si>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</si>
  <si>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</si>
  <si>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</si>
  <si>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</si>
  <si>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</si>
  <si>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</si>
  <si>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</si>
  <si>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</si>
  <si>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</si>
  <si>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</si>
  <si>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</si>
  <si>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</si>
  <si>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</si>
  <si>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</si>
  <si>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</si>
  <si>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</si>
  <si>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</si>
  <si>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</si>
  <si>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</si>
  <si>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</si>
  <si>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</si>
  <si>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</si>
  <si>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</si>
  <si>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</si>
  <si>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</si>
  <si>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</si>
  <si>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</si>
  <si>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</si>
  <si>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</si>
  <si>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</si>
  <si>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</si>
  <si>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</si>
  <si>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</si>
  <si>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</si>
  <si>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</si>
  <si>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</si>
  <si>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</si>
  <si>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</si>
  <si>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</si>
  <si>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</si>
  <si>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</si>
  <si>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</si>
  <si>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</si>
  <si>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</si>
  <si>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</si>
  <si>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</si>
  <si>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</si>
  <si>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</si>
  <si>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</si>
  <si>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</si>
  <si>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</si>
  <si>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</si>
  <si>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</si>
  <si>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</si>
  <si>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</si>
  <si>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</si>
  <si>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</si>
  <si>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</si>
  <si>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</si>
  <si>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</si>
  <si>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</si>
  <si>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</si>
  <si>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</si>
  <si>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</si>
  <si>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</si>
  <si>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</si>
  <si>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</si>
  <si>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</si>
  <si>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</si>
  <si>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</si>
  <si>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</si>
  <si>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</si>
  <si>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</si>
  <si>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</si>
  <si>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</si>
  <si>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</si>
  <si>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</si>
  <si>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</si>
  <si>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</si>
  <si>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</si>
  <si>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</si>
  <si>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</si>
  <si>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</si>
  <si>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</si>
  <si>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</si>
  <si>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</si>
  <si>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</si>
  <si>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</si>
  <si>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</si>
  <si>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</si>
  <si>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</si>
  <si>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</si>
  <si>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</si>
  <si>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</si>
  <si>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</si>
  <si>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</si>
  <si>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</si>
  <si>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</si>
  <si>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</si>
  <si>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</si>
  <si>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</si>
  <si>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</si>
  <si>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</si>
  <si>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</si>
  <si>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</si>
  <si>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</si>
  <si>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</si>
  <si>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</si>
  <si>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</si>
  <si>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</si>
  <si>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</si>
  <si>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</si>
  <si>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</si>
  <si>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</si>
  <si>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</si>
  <si>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</si>
  <si>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</si>
  <si>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</si>
  <si>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</si>
  <si>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</si>
  <si>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</si>
  <si>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</si>
  <si>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</si>
  <si>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</si>
  <si>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</si>
  <si>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</si>
  <si>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</si>
  <si>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</si>
  <si>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</si>
  <si>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</si>
  <si>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</si>
  <si>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</si>
  <si>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</si>
  <si>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</si>
  <si>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</si>
  <si>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</si>
  <si>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</si>
  <si>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</si>
  <si>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</si>
  <si>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</si>
  <si>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</si>
  <si>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</si>
  <si>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</si>
  <si>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</si>
  <si>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</si>
  <si>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</si>
  <si>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</si>
  <si>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</si>
  <si>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</si>
  <si>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</si>
  <si>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</si>
  <si>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</si>
  <si>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</si>
  <si>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</si>
  <si>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</si>
  <si>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</si>
  <si>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</si>
  <si>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</si>
  <si>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</si>
  <si>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</si>
  <si>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</si>
  <si>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</si>
  <si>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</si>
  <si>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</si>
  <si>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</si>
  <si>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</si>
  <si>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</si>
  <si>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</si>
  <si>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</si>
  <si>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</si>
  <si>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</si>
  <si>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</si>
  <si>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</si>
  <si>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</si>
  <si>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</si>
  <si>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</si>
  <si>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</si>
  <si>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</si>
  <si>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</si>
  <si>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</si>
  <si>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</si>
  <si>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</si>
  <si>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</si>
  <si>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</si>
  <si>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</si>
  <si>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</si>
  <si>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</si>
  <si>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</si>
  <si>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</si>
  <si>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</si>
  <si>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</si>
  <si>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</si>
  <si>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</si>
  <si>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</si>
  <si>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</si>
  <si>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</si>
  <si>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</si>
  <si>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</si>
  <si>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</si>
  <si>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</si>
  <si>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</si>
  <si>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</si>
  <si>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</si>
  <si>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</si>
  <si>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</si>
  <si>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</si>
  <si>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</si>
  <si>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</si>
  <si>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</si>
  <si>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</si>
  <si>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</si>
  <si>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</si>
  <si>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</si>
  <si>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</si>
  <si>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</si>
  <si>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</si>
  <si>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</si>
  <si>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</si>
  <si>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</si>
  <si>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</si>
  <si>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</si>
  <si>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</si>
  <si>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</si>
  <si>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</si>
  <si>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</si>
  <si>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</si>
  <si>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</si>
  <si>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</si>
  <si>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</si>
  <si>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</si>
  <si>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</si>
  <si>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</si>
  <si>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</si>
  <si>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</si>
  <si>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</si>
  <si>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</si>
  <si>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</si>
  <si>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</si>
  <si>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</si>
  <si>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</si>
  <si>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</si>
  <si>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</si>
  <si>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</si>
  <si>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</si>
  <si>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</si>
  <si>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</si>
  <si>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</si>
  <si>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</si>
  <si>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</si>
  <si>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</si>
  <si>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</si>
  <si>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</si>
  <si>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</si>
  <si>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</si>
  <si>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</si>
  <si>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</si>
  <si>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</si>
  <si>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</si>
  <si>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</si>
  <si>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</si>
  <si>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</si>
  <si>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</si>
  <si>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</si>
  <si>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</si>
  <si>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</si>
  <si>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</si>
  <si>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</si>
  <si>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</si>
  <si>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</si>
  <si>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</si>
  <si>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</si>
  <si>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</si>
  <si>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</si>
  <si>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</si>
  <si>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</si>
  <si>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</si>
  <si>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</si>
  <si>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</si>
  <si>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</si>
  <si>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</si>
  <si>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</si>
  <si>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</si>
  <si>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</si>
  <si>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</si>
  <si>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</si>
  <si>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</si>
  <si>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</si>
  <si>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</si>
  <si>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</si>
  <si>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</si>
  <si>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</si>
  <si>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</si>
  <si>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</si>
  <si>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</si>
  <si>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</si>
  <si>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</si>
  <si>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</si>
  <si>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</si>
  <si>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</si>
  <si>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</si>
  <si>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</si>
  <si>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</si>
  <si>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</si>
  <si>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</si>
  <si>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</si>
  <si>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</si>
  <si>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</si>
  <si>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</si>
  <si>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</si>
  <si>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</si>
  <si>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</si>
  <si>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</si>
  <si>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</si>
  <si>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</si>
  <si>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</si>
  <si>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</si>
  <si>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</si>
  <si>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</si>
  <si>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</si>
  <si>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</si>
  <si>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</si>
  <si>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</si>
  <si>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</si>
  <si>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</si>
  <si>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</si>
  <si>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</si>
  <si>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</si>
  <si>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</si>
  <si>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</si>
  <si>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</si>
  <si>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</si>
  <si>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</si>
  <si>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</si>
  <si>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</si>
  <si>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</si>
  <si>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</si>
  <si>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</si>
  <si>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</si>
  <si>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</si>
  <si>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</si>
  <si>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</si>
  <si>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</si>
  <si>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</si>
  <si>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</si>
  <si>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</si>
  <si>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</si>
  <si>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</si>
  <si>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</si>
  <si>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</si>
  <si>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</si>
  <si>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</si>
  <si>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</si>
  <si>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</si>
  <si>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</si>
  <si>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</si>
  <si>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</si>
  <si>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</si>
  <si>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</si>
  <si>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</si>
  <si>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</si>
  <si>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</si>
  <si>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</si>
  <si>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</si>
  <si>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</si>
  <si>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</si>
  <si>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</si>
  <si>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</si>
  <si>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</si>
  <si>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</si>
  <si>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</si>
  <si>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</si>
  <si>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</si>
  <si>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</si>
  <si>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</si>
  <si>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</si>
  <si>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</si>
  <si>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</si>
  <si>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</si>
  <si>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</si>
  <si>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</si>
  <si>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</si>
  <si>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</si>
  <si>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</si>
  <si>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</si>
  <si>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</si>
  <si>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</si>
  <si>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</si>
  <si>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</si>
  <si>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</si>
  <si>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</si>
  <si>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</si>
  <si>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</si>
  <si>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</si>
  <si>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</si>
  <si>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</si>
  <si>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</si>
  <si>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</si>
  <si>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</si>
  <si>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</si>
  <si>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</si>
  <si>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</si>
  <si>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</si>
  <si>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</si>
  <si>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</si>
  <si>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</si>
  <si>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</si>
  <si>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</si>
  <si>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</si>
  <si>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</si>
  <si>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</si>
  <si>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</si>
  <si>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</si>
  <si>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</si>
  <si>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</si>
  <si>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</si>
  <si>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</si>
  <si>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</si>
  <si>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</si>
  <si>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</si>
  <si>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</si>
  <si>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</si>
  <si>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</si>
  <si>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</si>
  <si>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</si>
  <si>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</si>
  <si>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</si>
  <si>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</si>
  <si>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</si>
  <si>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</si>
  <si>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</si>
  <si>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</si>
  <si>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</si>
  <si>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</si>
  <si>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</si>
  <si>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</si>
  <si>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</si>
  <si>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</si>
  <si>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</si>
  <si>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</si>
  <si>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</si>
  <si>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</si>
  <si>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</si>
  <si>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</si>
  <si>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</si>
  <si>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</si>
  <si>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</si>
  <si>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</si>
  <si>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</si>
  <si>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</si>
  <si>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</si>
  <si>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</si>
  <si>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</si>
  <si>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</si>
  <si>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</si>
  <si>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</si>
  <si>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</si>
  <si>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</si>
  <si>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</si>
  <si>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</si>
  <si>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</si>
  <si>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</si>
  <si>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</si>
  <si>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</si>
  <si>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</si>
  <si>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</si>
  <si>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</si>
  <si>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</si>
  <si>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</si>
  <si>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</si>
  <si>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</si>
  <si>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</si>
  <si>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</si>
  <si>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</si>
  <si>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</si>
  <si>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</si>
  <si>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</si>
  <si>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</si>
  <si>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</si>
  <si>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</si>
  <si>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</si>
  <si>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</si>
  <si>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</si>
  <si>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</si>
  <si>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</si>
  <si>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</si>
  <si>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</si>
  <si>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</si>
  <si>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</si>
  <si>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</si>
  <si>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</si>
  <si>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</si>
  <si>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</si>
  <si>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</si>
  <si>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</si>
  <si>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</si>
  <si>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</si>
  <si>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</si>
  <si>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</si>
  <si>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</si>
  <si>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</si>
  <si>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</si>
  <si>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</si>
  <si>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</si>
  <si>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</si>
  <si>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</si>
  <si>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</si>
  <si>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</si>
  <si>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</si>
  <si>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</si>
  <si>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</si>
  <si>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</si>
  <si>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</si>
  <si>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</si>
  <si>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</si>
  <si>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</si>
  <si>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</si>
  <si>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</si>
  <si>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</si>
  <si>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</si>
  <si>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</si>
  <si>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</si>
  <si>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</si>
  <si>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</si>
  <si>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</si>
  <si>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</si>
  <si>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</si>
  <si>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</si>
  <si>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</si>
  <si>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</si>
  <si>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</si>
  <si>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</si>
  <si>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</si>
  <si>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</si>
  <si>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</si>
  <si>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</si>
  <si>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</si>
  <si>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</si>
  <si>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</si>
  <si>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</si>
  <si>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</si>
  <si>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</si>
  <si>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</si>
  <si>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</si>
  <si>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</si>
  <si>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</si>
  <si>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</si>
  <si>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</si>
  <si>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</si>
  <si>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</si>
  <si>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</si>
  <si>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</si>
  <si>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</si>
  <si>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</si>
  <si>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</si>
  <si>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</si>
  <si>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</si>
  <si>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</si>
  <si>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</si>
  <si>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</si>
  <si>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</si>
  <si>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</si>
  <si>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</si>
  <si>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</si>
  <si>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</si>
  <si>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</si>
  <si>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</si>
  <si>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</si>
  <si>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</si>
  <si>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</si>
  <si>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</si>
  <si>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</si>
  <si>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</si>
  <si>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</si>
  <si>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</si>
  <si>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</si>
  <si>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</si>
  <si>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</si>
  <si>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</si>
  <si>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</si>
  <si>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</si>
  <si>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</si>
  <si>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</si>
  <si>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</si>
  <si>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</si>
  <si>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</si>
  <si>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</si>
  <si>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</si>
  <si>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</si>
  <si>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</si>
  <si>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</si>
  <si>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</si>
  <si>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</si>
  <si>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</si>
  <si>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</si>
  <si>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</si>
  <si>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</si>
  <si>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</si>
  <si>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</si>
  <si>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</si>
  <si>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</si>
  <si>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</si>
  <si>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</si>
  <si>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</si>
  <si>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</si>
  <si>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</si>
  <si>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</si>
  <si>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</si>
  <si>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</si>
  <si>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</si>
  <si>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</si>
  <si>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</si>
  <si>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</si>
  <si>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</si>
  <si>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</si>
  <si>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</si>
  <si>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</si>
  <si>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</si>
  <si>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</si>
  <si>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</si>
  <si>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</si>
  <si>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</si>
  <si>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</si>
  <si>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</si>
  <si>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</si>
  <si>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</si>
  <si>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</si>
  <si>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</si>
  <si>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</si>
  <si>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</si>
  <si>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</si>
  <si>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</si>
  <si>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</si>
  <si>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</si>
  <si>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</si>
  <si>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</si>
  <si>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</si>
  <si>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</si>
  <si>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</si>
  <si>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</si>
  <si>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</si>
  <si>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</si>
  <si>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</si>
  <si>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</si>
  <si>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</si>
  <si>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</si>
  <si>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</si>
  <si>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</si>
  <si>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</si>
  <si>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</si>
  <si>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</si>
  <si>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</si>
  <si>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</si>
  <si>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</si>
  <si>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</si>
  <si>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</si>
  <si>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</si>
  <si>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</si>
  <si>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</si>
  <si>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</si>
  <si>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</si>
  <si>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</si>
  <si>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</si>
  <si>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</si>
  <si>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</si>
  <si>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</si>
  <si>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</si>
  <si>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</si>
  <si>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</si>
  <si>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</si>
  <si>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</si>
  <si>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</si>
  <si>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</si>
  <si>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</si>
  <si>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</si>
  <si>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</si>
  <si>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</si>
  <si>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</si>
  <si>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</si>
  <si>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</si>
  <si>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</si>
  <si>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</si>
  <si>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</si>
  <si>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</si>
  <si>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</si>
  <si>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</si>
  <si>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</si>
  <si>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</si>
  <si>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</si>
  <si>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</si>
  <si>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</si>
  <si>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</si>
  <si>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</si>
  <si>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</si>
  <si>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</si>
  <si>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</si>
  <si>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</si>
  <si>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</si>
  <si>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</si>
  <si>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</si>
  <si>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</si>
  <si>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</si>
  <si>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</si>
  <si>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</si>
  <si>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</si>
  <si>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</si>
  <si>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</si>
  <si>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</si>
  <si>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</si>
  <si>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</si>
  <si>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</si>
  <si>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</si>
  <si>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</si>
  <si>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</si>
  <si>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</si>
  <si>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</si>
  <si>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</si>
  <si>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</si>
  <si>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</si>
  <si>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</si>
  <si>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</si>
  <si>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</si>
  <si>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</si>
  <si>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</si>
  <si>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</si>
  <si>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</si>
  <si>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</si>
  <si>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</si>
  <si>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</si>
  <si>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</si>
  <si>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</si>
  <si>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</si>
  <si>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</si>
  <si>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</si>
  <si>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</si>
  <si>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</si>
  <si>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</si>
  <si>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</si>
  <si>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</si>
  <si>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</si>
  <si>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</si>
  <si>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</si>
  <si>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</si>
  <si>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</si>
  <si>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</si>
  <si>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</si>
  <si>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</si>
  <si>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</si>
  <si>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</si>
  <si>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</si>
  <si>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</si>
  <si>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</si>
  <si>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</si>
  <si>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</si>
  <si>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</si>
  <si>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</si>
  <si>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</si>
  <si>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</si>
  <si>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</si>
  <si>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</si>
  <si>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</si>
  <si>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</si>
  <si>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</si>
  <si>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</si>
  <si>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</si>
  <si>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</si>
  <si>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</si>
  <si>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</si>
  <si>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</si>
  <si>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</si>
  <si>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</si>
  <si>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</si>
  <si>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</si>
  <si>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</si>
  <si>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</si>
  <si>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</si>
  <si>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</si>
  <si>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</si>
  <si>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</si>
  <si>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</si>
  <si>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</si>
  <si>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</si>
  <si>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</si>
  <si>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</si>
  <si>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</si>
  <si>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</si>
  <si>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</si>
  <si>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</si>
  <si>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</si>
  <si>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</si>
  <si>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</si>
  <si>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</si>
  <si>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</si>
  <si>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</si>
  <si>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</si>
  <si>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</si>
  <si>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</si>
  <si>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</si>
  <si>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</si>
  <si>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</si>
  <si>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</si>
  <si>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</si>
  <si>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</si>
  <si>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</si>
  <si>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</si>
  <si>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</si>
  <si>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</si>
  <si>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</si>
  <si>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</si>
  <si>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</si>
  <si>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</si>
  <si>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</si>
  <si>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</si>
  <si>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</si>
  <si>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</si>
  <si>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</si>
  <si>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</si>
  <si>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</si>
  <si>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</si>
  <si>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</si>
  <si>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</si>
  <si>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</si>
  <si>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</si>
  <si>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</si>
  <si>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</si>
  <si>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</si>
  <si>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</si>
  <si>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</si>
  <si>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</si>
  <si>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</si>
  <si>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</si>
  <si>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</si>
  <si>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</si>
  <si>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</si>
  <si>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</si>
  <si>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</si>
  <si>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</si>
  <si>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</si>
  <si>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</si>
  <si>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</si>
  <si>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</si>
  <si>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</si>
  <si>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</si>
  <si>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</si>
  <si>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</si>
  <si>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</si>
  <si>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</si>
  <si>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</si>
  <si>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</si>
  <si>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</si>
  <si>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</si>
  <si>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</si>
  <si>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</si>
  <si>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</si>
  <si>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</si>
  <si>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</si>
  <si>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</si>
  <si>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</si>
  <si>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</si>
  <si>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</si>
  <si>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</si>
  <si>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</si>
  <si>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</si>
  <si>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</si>
  <si>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</si>
  <si>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</si>
  <si>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</si>
  <si>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</si>
  <si>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</si>
  <si>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</si>
  <si>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</si>
  <si>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</si>
  <si>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</si>
  <si>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</si>
  <si>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</si>
  <si>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</si>
  <si>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</si>
  <si>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</si>
  <si>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</si>
  <si>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</si>
  <si>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</si>
  <si>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</si>
  <si>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</si>
  <si>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</si>
  <si>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</si>
  <si>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</si>
  <si>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</si>
  <si>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</si>
  <si>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</si>
  <si>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</si>
  <si>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</si>
  <si>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</si>
  <si>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</si>
  <si>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</si>
  <si>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</si>
  <si>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</si>
  <si>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</si>
  <si>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</si>
  <si>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</si>
  <si>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</si>
  <si>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</si>
  <si>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</si>
  <si>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</si>
  <si>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</si>
  <si>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</si>
  <si>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37010</t>
  </si>
  <si>
    <t>OOSTROZEBEKE</t>
  </si>
  <si>
    <t>Cultuurgrond (ha)</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</si>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</sst>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68968.801320296538</c:v>
                </c:pt>
                <c:pt idx="1">
                  <c:v>18112.733137556093</c:v>
                </c:pt>
                <c:pt idx="2">
                  <c:v>699.90200000000004</c:v>
                </c:pt>
                <c:pt idx="3">
                  <c:v>19489.567609876398</c:v>
                </c:pt>
                <c:pt idx="4">
                  <c:v>196964.27985794126</c:v>
                </c:pt>
                <c:pt idx="5">
                  <c:v>33655.05923218323</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68968.801320296538</c:v>
                </c:pt>
                <c:pt idx="1">
                  <c:v>18112.733137556093</c:v>
                </c:pt>
                <c:pt idx="2">
                  <c:v>699.90200000000004</c:v>
                </c:pt>
                <c:pt idx="3">
                  <c:v>19489.567609876398</c:v>
                </c:pt>
                <c:pt idx="4">
                  <c:v>196964.27985794126</c:v>
                </c:pt>
                <c:pt idx="5">
                  <c:v>33655.05923218323</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13068.761585189877</c:v>
                </c:pt>
                <c:pt idx="2">
                  <c:v>3724.8602468639401</c:v>
                </c:pt>
                <c:pt idx="3">
                  <c:v>149.08114257123779</c:v>
                </c:pt>
                <c:pt idx="4">
                  <c:v>4721.7181330999447</c:v>
                </c:pt>
                <c:pt idx="5">
                  <c:v>39888.11794567461</c:v>
                </c:pt>
                <c:pt idx="6">
                  <c:v>8531.3882095584504</c:v>
                </c:pt>
                <c:pt idx="7">
                  <c:v>43.874742999776565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13068.761585189877</c:v>
                </c:pt>
                <c:pt idx="2">
                  <c:v>3724.8602468639401</c:v>
                </c:pt>
                <c:pt idx="3">
                  <c:v>149.08114257123779</c:v>
                </c:pt>
                <c:pt idx="4">
                  <c:v>4721.7181330999447</c:v>
                </c:pt>
                <c:pt idx="5">
                  <c:v>39888.11794567461</c:v>
                </c:pt>
                <c:pt idx="6">
                  <c:v>8531.3882095584504</c:v>
                </c:pt>
                <c:pt idx="7">
                  <c:v>43.874742999776565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37010</v>
      </c>
      <c r="B6" s="398"/>
      <c r="C6" s="399"/>
    </row>
    <row r="7" spans="1:7" s="396" customFormat="1" ht="15.75" customHeight="1">
      <c r="A7" s="400" t="str">
        <f>txtMunicipality</f>
        <v>OOSTROZEBEKE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0.21300288121942471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0.21300288121942471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3096</v>
      </c>
      <c r="C9" s="338">
        <v>3201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948</v>
      </c>
    </row>
    <row r="15" spans="1:6">
      <c r="A15" s="1295" t="s">
        <v>184</v>
      </c>
      <c r="B15" s="335">
        <v>18</v>
      </c>
    </row>
    <row r="16" spans="1:6">
      <c r="A16" s="1295" t="s">
        <v>6</v>
      </c>
      <c r="B16" s="335">
        <v>542</v>
      </c>
    </row>
    <row r="17" spans="1:6">
      <c r="A17" s="1295" t="s">
        <v>7</v>
      </c>
      <c r="B17" s="335">
        <v>485</v>
      </c>
    </row>
    <row r="18" spans="1:6">
      <c r="A18" s="1295" t="s">
        <v>8</v>
      </c>
      <c r="B18" s="335">
        <v>737</v>
      </c>
    </row>
    <row r="19" spans="1:6">
      <c r="A19" s="1295" t="s">
        <v>9</v>
      </c>
      <c r="B19" s="335">
        <v>719</v>
      </c>
    </row>
    <row r="20" spans="1:6">
      <c r="A20" s="1295" t="s">
        <v>10</v>
      </c>
      <c r="B20" s="335">
        <v>376</v>
      </c>
    </row>
    <row r="21" spans="1:6">
      <c r="A21" s="1295" t="s">
        <v>11</v>
      </c>
      <c r="B21" s="335">
        <v>2725</v>
      </c>
    </row>
    <row r="22" spans="1:6">
      <c r="A22" s="1295" t="s">
        <v>12</v>
      </c>
      <c r="B22" s="335">
        <v>17045</v>
      </c>
    </row>
    <row r="23" spans="1:6">
      <c r="A23" s="1295" t="s">
        <v>13</v>
      </c>
      <c r="B23" s="335">
        <v>82</v>
      </c>
    </row>
    <row r="24" spans="1:6">
      <c r="A24" s="1295" t="s">
        <v>14</v>
      </c>
      <c r="B24" s="335">
        <v>8</v>
      </c>
    </row>
    <row r="25" spans="1:6">
      <c r="A25" s="1295" t="s">
        <v>15</v>
      </c>
      <c r="B25" s="335">
        <v>815</v>
      </c>
    </row>
    <row r="26" spans="1:6">
      <c r="A26" s="1295" t="s">
        <v>16</v>
      </c>
      <c r="B26" s="335">
        <v>11</v>
      </c>
    </row>
    <row r="27" spans="1:6">
      <c r="A27" s="1295" t="s">
        <v>17</v>
      </c>
      <c r="B27" s="335">
        <v>7</v>
      </c>
    </row>
    <row r="28" spans="1:6" s="341" customFormat="1">
      <c r="A28" s="1296" t="s">
        <v>18</v>
      </c>
      <c r="B28" s="1296">
        <v>252515</v>
      </c>
    </row>
    <row r="29" spans="1:6">
      <c r="A29" s="1296" t="s">
        <v>909</v>
      </c>
      <c r="B29" s="1296">
        <v>14</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4</v>
      </c>
      <c r="D38" s="335">
        <v>53303.412059604503</v>
      </c>
      <c r="E38" s="335">
        <v>2</v>
      </c>
      <c r="F38" s="335">
        <v>141794.05689556</v>
      </c>
    </row>
    <row r="39" spans="1:6">
      <c r="A39" s="1295" t="s">
        <v>30</v>
      </c>
      <c r="B39" s="1295" t="s">
        <v>31</v>
      </c>
      <c r="C39" s="335">
        <v>1585</v>
      </c>
      <c r="D39" s="335">
        <v>26481249.991973098</v>
      </c>
      <c r="E39" s="335">
        <v>2934</v>
      </c>
      <c r="F39" s="335">
        <v>12546032.382495601</v>
      </c>
    </row>
    <row r="40" spans="1:6">
      <c r="A40" s="1295" t="s">
        <v>30</v>
      </c>
      <c r="B40" s="1295" t="s">
        <v>29</v>
      </c>
      <c r="C40" s="335">
        <v>0</v>
      </c>
      <c r="D40" s="335">
        <v>0</v>
      </c>
      <c r="E40" s="335">
        <v>0</v>
      </c>
      <c r="F40" s="335">
        <v>0</v>
      </c>
    </row>
    <row r="41" spans="1:6">
      <c r="A41" s="1295" t="s">
        <v>32</v>
      </c>
      <c r="B41" s="1295" t="s">
        <v>33</v>
      </c>
      <c r="C41" s="335">
        <v>18</v>
      </c>
      <c r="D41" s="335">
        <v>326379.05684758601</v>
      </c>
      <c r="E41" s="335">
        <v>102</v>
      </c>
      <c r="F41" s="335">
        <v>690436.05662258703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20</v>
      </c>
      <c r="F44" s="335">
        <v>366295.16525891703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25</v>
      </c>
      <c r="D48" s="335">
        <v>142102962.61324099</v>
      </c>
      <c r="E48" s="335">
        <v>32</v>
      </c>
      <c r="F48" s="335">
        <v>28297702.821899299</v>
      </c>
    </row>
    <row r="49" spans="1:6">
      <c r="A49" s="1295" t="s">
        <v>32</v>
      </c>
      <c r="B49" s="1295" t="s">
        <v>40</v>
      </c>
      <c r="C49" s="335">
        <v>0</v>
      </c>
      <c r="D49" s="335">
        <v>0</v>
      </c>
      <c r="E49" s="335">
        <v>3</v>
      </c>
      <c r="F49" s="335">
        <v>218861.23608523901</v>
      </c>
    </row>
    <row r="50" spans="1:6">
      <c r="A50" s="1295" t="s">
        <v>32</v>
      </c>
      <c r="B50" s="1295" t="s">
        <v>41</v>
      </c>
      <c r="C50" s="335">
        <v>3</v>
      </c>
      <c r="D50" s="335">
        <v>244595.77546917601</v>
      </c>
      <c r="E50" s="335">
        <v>9</v>
      </c>
      <c r="F50" s="335">
        <v>8319203.03649313</v>
      </c>
    </row>
    <row r="51" spans="1:6">
      <c r="A51" s="1295" t="s">
        <v>42</v>
      </c>
      <c r="B51" s="1295" t="s">
        <v>43</v>
      </c>
      <c r="C51" s="335">
        <v>0</v>
      </c>
      <c r="D51" s="335">
        <v>0</v>
      </c>
      <c r="E51" s="335">
        <v>72</v>
      </c>
      <c r="F51" s="335">
        <v>1164879.20608943</v>
      </c>
    </row>
    <row r="52" spans="1:6">
      <c r="A52" s="1295" t="s">
        <v>42</v>
      </c>
      <c r="B52" s="1295" t="s">
        <v>29</v>
      </c>
      <c r="C52" s="335">
        <v>6</v>
      </c>
      <c r="D52" s="335">
        <v>29399712.0205734</v>
      </c>
      <c r="E52" s="335">
        <v>5</v>
      </c>
      <c r="F52" s="335">
        <v>98477.929915468398</v>
      </c>
    </row>
    <row r="53" spans="1:6">
      <c r="A53" s="1295" t="s">
        <v>44</v>
      </c>
      <c r="B53" s="1295" t="s">
        <v>45</v>
      </c>
      <c r="C53" s="335">
        <v>49</v>
      </c>
      <c r="D53" s="335">
        <v>869918.07255701302</v>
      </c>
      <c r="E53" s="335">
        <v>105</v>
      </c>
      <c r="F53" s="335">
        <v>497094.90195496398</v>
      </c>
    </row>
    <row r="54" spans="1:6">
      <c r="A54" s="1295" t="s">
        <v>46</v>
      </c>
      <c r="B54" s="1295" t="s">
        <v>47</v>
      </c>
      <c r="C54" s="335">
        <v>0</v>
      </c>
      <c r="D54" s="335">
        <v>0</v>
      </c>
      <c r="E54" s="335">
        <v>1</v>
      </c>
      <c r="F54" s="335">
        <v>699902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16</v>
      </c>
      <c r="D57" s="335">
        <v>676762.30478412099</v>
      </c>
      <c r="E57" s="335">
        <v>43</v>
      </c>
      <c r="F57" s="335">
        <v>654595.14686777804</v>
      </c>
    </row>
    <row r="58" spans="1:6">
      <c r="A58" s="1295" t="s">
        <v>49</v>
      </c>
      <c r="B58" s="1295" t="s">
        <v>51</v>
      </c>
      <c r="C58" s="335">
        <v>0</v>
      </c>
      <c r="D58" s="335">
        <v>0</v>
      </c>
      <c r="E58" s="335">
        <v>0</v>
      </c>
      <c r="F58" s="335">
        <v>0</v>
      </c>
    </row>
    <row r="59" spans="1:6">
      <c r="A59" s="1295" t="s">
        <v>49</v>
      </c>
      <c r="B59" s="1295" t="s">
        <v>52</v>
      </c>
      <c r="C59" s="335">
        <v>22</v>
      </c>
      <c r="D59" s="335">
        <v>963329.64060390298</v>
      </c>
      <c r="E59" s="335">
        <v>105</v>
      </c>
      <c r="F59" s="335">
        <v>2037292.9448488001</v>
      </c>
    </row>
    <row r="60" spans="1:6">
      <c r="A60" s="1295" t="s">
        <v>49</v>
      </c>
      <c r="B60" s="1295" t="s">
        <v>53</v>
      </c>
      <c r="C60" s="335">
        <v>14</v>
      </c>
      <c r="D60" s="335">
        <v>403954.95547139499</v>
      </c>
      <c r="E60" s="335">
        <v>25</v>
      </c>
      <c r="F60" s="335">
        <v>520700.856195834</v>
      </c>
    </row>
    <row r="61" spans="1:6">
      <c r="A61" s="1295" t="s">
        <v>49</v>
      </c>
      <c r="B61" s="1295" t="s">
        <v>54</v>
      </c>
      <c r="C61" s="335">
        <v>22</v>
      </c>
      <c r="D61" s="335">
        <v>2184470.8213163498</v>
      </c>
      <c r="E61" s="335">
        <v>85</v>
      </c>
      <c r="F61" s="335">
        <v>2956117.7587020299</v>
      </c>
    </row>
    <row r="62" spans="1:6">
      <c r="A62" s="1295" t="s">
        <v>49</v>
      </c>
      <c r="B62" s="1295" t="s">
        <v>55</v>
      </c>
      <c r="C62" s="335">
        <v>4</v>
      </c>
      <c r="D62" s="335">
        <v>749673.69308651495</v>
      </c>
      <c r="E62" s="335">
        <v>6</v>
      </c>
      <c r="F62" s="335">
        <v>93534.253345022007</v>
      </c>
    </row>
    <row r="63" spans="1:6">
      <c r="A63" s="1295" t="s">
        <v>49</v>
      </c>
      <c r="B63" s="1295" t="s">
        <v>29</v>
      </c>
      <c r="C63" s="335">
        <v>76</v>
      </c>
      <c r="D63" s="335">
        <v>4125631.6315816999</v>
      </c>
      <c r="E63" s="335">
        <v>87</v>
      </c>
      <c r="F63" s="335">
        <v>1488551.93167196</v>
      </c>
    </row>
    <row r="64" spans="1:6">
      <c r="A64" s="1295" t="s">
        <v>56</v>
      </c>
      <c r="B64" s="1295" t="s">
        <v>57</v>
      </c>
      <c r="C64" s="335">
        <v>0</v>
      </c>
      <c r="D64" s="335">
        <v>0</v>
      </c>
      <c r="E64" s="335">
        <v>0</v>
      </c>
      <c r="F64" s="335">
        <v>0</v>
      </c>
    </row>
    <row r="65" spans="1:6">
      <c r="A65" s="1295" t="s">
        <v>56</v>
      </c>
      <c r="B65" s="1295" t="s">
        <v>29</v>
      </c>
      <c r="C65" s="335">
        <v>1</v>
      </c>
      <c r="D65" s="335">
        <v>24378.76252815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255908.128535575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18117407</v>
      </c>
      <c r="E73" s="335">
        <v>20868257.322789233</v>
      </c>
    </row>
    <row r="74" spans="1:6">
      <c r="A74" s="1295" t="s">
        <v>64</v>
      </c>
      <c r="B74" s="1295" t="s">
        <v>727</v>
      </c>
      <c r="C74" s="1295" t="s">
        <v>728</v>
      </c>
      <c r="D74" s="335">
        <v>4168708.3292162241</v>
      </c>
      <c r="E74" s="335">
        <v>4588156.4927091571</v>
      </c>
    </row>
    <row r="75" spans="1:6">
      <c r="A75" s="1295" t="s">
        <v>65</v>
      </c>
      <c r="B75" s="1295" t="s">
        <v>725</v>
      </c>
      <c r="C75" s="1295" t="s">
        <v>729</v>
      </c>
      <c r="D75" s="335">
        <v>7072859</v>
      </c>
      <c r="E75" s="335">
        <v>8706077.0774223078</v>
      </c>
    </row>
    <row r="76" spans="1:6">
      <c r="A76" s="1295" t="s">
        <v>65</v>
      </c>
      <c r="B76" s="1295" t="s">
        <v>727</v>
      </c>
      <c r="C76" s="1295" t="s">
        <v>730</v>
      </c>
      <c r="D76" s="335">
        <v>1483965.3292162241</v>
      </c>
      <c r="E76" s="335">
        <v>1753252.3642434466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45343.341567551863</v>
      </c>
      <c r="C83" s="335">
        <v>45613.860561736132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1592.85</v>
      </c>
    </row>
    <row r="92" spans="1:6">
      <c r="A92" s="1291" t="s">
        <v>69</v>
      </c>
      <c r="B92" s="338">
        <v>1337.4459999999999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824</v>
      </c>
    </row>
    <row r="98" spans="1:6">
      <c r="A98" s="1295" t="s">
        <v>72</v>
      </c>
      <c r="B98" s="335">
        <v>0</v>
      </c>
    </row>
    <row r="99" spans="1:6">
      <c r="A99" s="1295" t="s">
        <v>73</v>
      </c>
      <c r="B99" s="335">
        <v>50</v>
      </c>
    </row>
    <row r="100" spans="1:6">
      <c r="A100" s="1295" t="s">
        <v>74</v>
      </c>
      <c r="B100" s="335">
        <v>270</v>
      </c>
    </row>
    <row r="101" spans="1:6">
      <c r="A101" s="1295" t="s">
        <v>75</v>
      </c>
      <c r="B101" s="335">
        <v>66</v>
      </c>
    </row>
    <row r="102" spans="1:6">
      <c r="A102" s="1295" t="s">
        <v>76</v>
      </c>
      <c r="B102" s="335">
        <v>62</v>
      </c>
    </row>
    <row r="103" spans="1:6">
      <c r="A103" s="1295" t="s">
        <v>77</v>
      </c>
      <c r="B103" s="335">
        <v>87</v>
      </c>
    </row>
    <row r="104" spans="1:6">
      <c r="A104" s="1295" t="s">
        <v>78</v>
      </c>
      <c r="B104" s="335">
        <v>1363</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4</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73</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62243.903116370289</v>
      </c>
      <c r="C3" s="43" t="s">
        <v>170</v>
      </c>
      <c r="D3" s="43"/>
      <c r="E3" s="156"/>
      <c r="F3" s="43"/>
      <c r="G3" s="43"/>
      <c r="H3" s="43"/>
      <c r="I3" s="43"/>
      <c r="J3" s="43"/>
      <c r="K3" s="96"/>
    </row>
    <row r="4" spans="1:11">
      <c r="A4" s="366" t="s">
        <v>171</v>
      </c>
      <c r="B4" s="49">
        <f>IF(ISERROR('SEAP template'!B78+'SEAP template'!C78),0,'SEAP template'!B78+'SEAP template'!C78)</f>
        <v>11930.296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2138.8235294117653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0.21300288121942471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3055.4621848739503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12857.142857142857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699.90200000000004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699.90200000000004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0.21300288121942471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149.08114257123779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12546.032382495601</v>
      </c>
      <c r="C5" s="17">
        <f>IF(ISERROR('Eigen informatie GS &amp; warmtenet'!B57),0,'Eigen informatie GS &amp; warmtenet'!B57)</f>
        <v>0</v>
      </c>
      <c r="D5" s="30">
        <f>(SUM(HH_hh_gas_kWh,HH_rest_gas_kWh)/1000)*0.902</f>
        <v>23886.087492759736</v>
      </c>
      <c r="E5" s="17">
        <f>B46*B57</f>
        <v>2189.0385085843636</v>
      </c>
      <c r="F5" s="17">
        <f>B51*B62</f>
        <v>17147.032861628879</v>
      </c>
      <c r="G5" s="18"/>
      <c r="H5" s="17"/>
      <c r="I5" s="17"/>
      <c r="J5" s="17">
        <f>B50*B61+C50*C61</f>
        <v>443.44551258396166</v>
      </c>
      <c r="K5" s="17"/>
      <c r="L5" s="17"/>
      <c r="M5" s="17"/>
      <c r="N5" s="17">
        <f>B48*B59+C48*C59</f>
        <v>10832.641228910645</v>
      </c>
      <c r="O5" s="17">
        <f>B69*B70*B71</f>
        <v>121.94000000000001</v>
      </c>
      <c r="P5" s="17">
        <f>B77*B78*B79/1000-B77*B78*B79/1000/B80</f>
        <v>209.73333333333335</v>
      </c>
    </row>
    <row r="6" spans="1:16">
      <c r="A6" s="16" t="s">
        <v>634</v>
      </c>
      <c r="B6" s="783">
        <f>kWh_PV_kleiner_dan_10kW</f>
        <v>1592.85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14138.882382495602</v>
      </c>
      <c r="C8" s="21">
        <f>C5</f>
        <v>0</v>
      </c>
      <c r="D8" s="21">
        <f>D5</f>
        <v>23886.087492759736</v>
      </c>
      <c r="E8" s="21">
        <f>E5</f>
        <v>2189.0385085843636</v>
      </c>
      <c r="F8" s="21">
        <f>F5</f>
        <v>17147.032861628879</v>
      </c>
      <c r="G8" s="21"/>
      <c r="H8" s="21"/>
      <c r="I8" s="21"/>
      <c r="J8" s="21">
        <f>J5</f>
        <v>443.44551258396166</v>
      </c>
      <c r="K8" s="21"/>
      <c r="L8" s="21">
        <f>L5</f>
        <v>0</v>
      </c>
      <c r="M8" s="21">
        <f>M5</f>
        <v>0</v>
      </c>
      <c r="N8" s="21">
        <f>N5</f>
        <v>10832.641228910645</v>
      </c>
      <c r="O8" s="21">
        <f>O5</f>
        <v>121.94000000000001</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0.21300288121942471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3011.6226846941272</v>
      </c>
      <c r="C12" s="23">
        <f ca="1">C10*C8</f>
        <v>0</v>
      </c>
      <c r="D12" s="23">
        <f>D8*D10</f>
        <v>4824.9896735374668</v>
      </c>
      <c r="E12" s="23">
        <f>E10*E8</f>
        <v>496.91174144865056</v>
      </c>
      <c r="F12" s="23">
        <f>F10*F8</f>
        <v>4578.2577740549114</v>
      </c>
      <c r="G12" s="23"/>
      <c r="H12" s="23"/>
      <c r="I12" s="23"/>
      <c r="J12" s="23">
        <f>J10*J8</f>
        <v>156.97971145472241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824</v>
      </c>
      <c r="C18" s="168" t="s">
        <v>111</v>
      </c>
      <c r="D18" s="230"/>
      <c r="E18" s="15"/>
    </row>
    <row r="19" spans="1:7">
      <c r="A19" s="173" t="s">
        <v>72</v>
      </c>
      <c r="B19" s="37">
        <f>aantalw2001_ander</f>
        <v>0</v>
      </c>
      <c r="C19" s="168" t="s">
        <v>111</v>
      </c>
      <c r="D19" s="231"/>
      <c r="E19" s="15"/>
    </row>
    <row r="20" spans="1:7">
      <c r="A20" s="173" t="s">
        <v>73</v>
      </c>
      <c r="B20" s="37">
        <f>aantalw2001_propaan</f>
        <v>50</v>
      </c>
      <c r="C20" s="169">
        <f>IF(ISERROR(B20/SUM($B$20,$B$21,$B$22)*100),0,B20/SUM($B$20,$B$21,$B$22)*100)</f>
        <v>12.953367875647666</v>
      </c>
      <c r="D20" s="231"/>
      <c r="E20" s="15"/>
    </row>
    <row r="21" spans="1:7">
      <c r="A21" s="173" t="s">
        <v>74</v>
      </c>
      <c r="B21" s="37">
        <f>aantalw2001_elektriciteit</f>
        <v>270</v>
      </c>
      <c r="C21" s="169">
        <f>IF(ISERROR(B21/SUM($B$20,$B$21,$B$22)*100),0,B21/SUM($B$20,$B$21,$B$22)*100)</f>
        <v>69.948186528497416</v>
      </c>
      <c r="D21" s="231"/>
      <c r="E21" s="15"/>
    </row>
    <row r="22" spans="1:7">
      <c r="A22" s="173" t="s">
        <v>75</v>
      </c>
      <c r="B22" s="37">
        <f>aantalw2001_hout</f>
        <v>66</v>
      </c>
      <c r="C22" s="169">
        <f>IF(ISERROR(B22/SUM($B$20,$B$21,$B$22)*100),0,B22/SUM($B$20,$B$21,$B$22)*100)</f>
        <v>17.098445595854923</v>
      </c>
      <c r="D22" s="231"/>
      <c r="E22" s="15"/>
    </row>
    <row r="23" spans="1:7">
      <c r="A23" s="173" t="s">
        <v>76</v>
      </c>
      <c r="B23" s="37">
        <f>aantalw2001_niet_gespec</f>
        <v>62</v>
      </c>
      <c r="C23" s="168" t="s">
        <v>111</v>
      </c>
      <c r="D23" s="230"/>
      <c r="E23" s="15"/>
    </row>
    <row r="24" spans="1:7">
      <c r="A24" s="173" t="s">
        <v>77</v>
      </c>
      <c r="B24" s="37">
        <f>aantalw2001_steenkool</f>
        <v>87</v>
      </c>
      <c r="C24" s="168" t="s">
        <v>111</v>
      </c>
      <c r="D24" s="231"/>
      <c r="E24" s="15"/>
    </row>
    <row r="25" spans="1:7">
      <c r="A25" s="173" t="s">
        <v>78</v>
      </c>
      <c r="B25" s="37">
        <f>aantalw2001_stookolie</f>
        <v>1363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3096</v>
      </c>
      <c r="C28" s="36"/>
      <c r="D28" s="230"/>
    </row>
    <row r="29" spans="1:7" s="15" customFormat="1">
      <c r="A29" s="232" t="s">
        <v>746</v>
      </c>
      <c r="B29" s="37">
        <f>SUM(HH_hh_gas_aantal,HH_rest_gas_aantal)</f>
        <v>1585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1585</v>
      </c>
      <c r="C32" s="169">
        <f>IF(ISERROR(B32/SUM($B$32,$B$34,$B$35,$B$36,$B$38,$B$39)*100),0,B32/SUM($B$32,$B$34,$B$35,$B$36,$B$38,$B$39)*100)</f>
        <v>51.377633711507301</v>
      </c>
      <c r="D32" s="235"/>
      <c r="G32" s="15"/>
    </row>
    <row r="33" spans="1:7">
      <c r="A33" s="173" t="s">
        <v>72</v>
      </c>
      <c r="B33" s="34" t="s">
        <v>111</v>
      </c>
      <c r="C33" s="169"/>
      <c r="D33" s="235"/>
      <c r="G33" s="15"/>
    </row>
    <row r="34" spans="1:7">
      <c r="A34" s="173" t="s">
        <v>73</v>
      </c>
      <c r="B34" s="33">
        <f>IF((($B$28-$B$32-$B$39-$B$77-$B$38)*C20/100)&lt;0,0,($B$28-$B$32-$B$39-$B$77-$B$38)*C20/100)</f>
        <v>105.05181347150257</v>
      </c>
      <c r="C34" s="169">
        <f>IF(ISERROR(B34/SUM($B$32,$B$34,$B$35,$B$36,$B$38,$B$39)*100),0,B34/SUM($B$32,$B$34,$B$35,$B$36,$B$38,$B$39)*100)</f>
        <v>3.40524516925454</v>
      </c>
      <c r="D34" s="235"/>
      <c r="G34" s="15"/>
    </row>
    <row r="35" spans="1:7">
      <c r="A35" s="173" t="s">
        <v>74</v>
      </c>
      <c r="B35" s="33">
        <f>IF((($B$28-$B$32-$B$39-$B$77-$B$38)*C21/100)&lt;0,0,($B$28-$B$32-$B$39-$B$77-$B$38)*C21/100)</f>
        <v>567.27979274611403</v>
      </c>
      <c r="C35" s="169">
        <f>IF(ISERROR(B35/SUM($B$32,$B$34,$B$35,$B$36,$B$38,$B$39)*100),0,B35/SUM($B$32,$B$34,$B$35,$B$36,$B$38,$B$39)*100)</f>
        <v>18.388323913974521</v>
      </c>
      <c r="D35" s="235"/>
      <c r="G35" s="15"/>
    </row>
    <row r="36" spans="1:7">
      <c r="A36" s="173" t="s">
        <v>75</v>
      </c>
      <c r="B36" s="33">
        <f>IF((($B$28-$B$32-$B$39-$B$77-$B$38)*C22/100)&lt;0,0,($B$28-$B$32-$B$39-$B$77-$B$38)*C22/100)</f>
        <v>138.66839378238342</v>
      </c>
      <c r="C36" s="169">
        <f>IF(ISERROR(B36/SUM($B$32,$B$34,$B$35,$B$36,$B$38,$B$39)*100),0,B36/SUM($B$32,$B$34,$B$35,$B$36,$B$38,$B$39)*100)</f>
        <v>4.4949236234159935</v>
      </c>
      <c r="D36" s="235"/>
      <c r="G36" s="15"/>
    </row>
    <row r="37" spans="1:7">
      <c r="A37" s="173" t="s">
        <v>76</v>
      </c>
      <c r="B37" s="34" t="s">
        <v>111</v>
      </c>
      <c r="C37" s="169"/>
      <c r="D37" s="175"/>
      <c r="G37" s="15"/>
    </row>
    <row r="38" spans="1:7">
      <c r="A38" s="173" t="s">
        <v>77</v>
      </c>
      <c r="B38" s="33">
        <f>IF((B24-(B29-B18)*0.1)&lt;0,0,B24-(B29-B18)*0.1)</f>
        <v>10.899999999999991</v>
      </c>
      <c r="C38" s="169">
        <f>IF(ISERROR(B38/SUM($B$32,$B$34,$B$35,$B$36,$B$38,$B$39)*100),0,B38/SUM($B$32,$B$34,$B$35,$B$36,$B$38,$B$39)*100)</f>
        <v>0.35332252836304673</v>
      </c>
      <c r="D38" s="236"/>
      <c r="G38" s="15"/>
    </row>
    <row r="39" spans="1:7">
      <c r="A39" s="173" t="s">
        <v>78</v>
      </c>
      <c r="B39" s="33">
        <f>IF((B25-(B29-B18))&lt;0,0,B25-(B29-B18)*0.9)</f>
        <v>678.1</v>
      </c>
      <c r="C39" s="169">
        <f>IF(ISERROR(B39/SUM($B$32,$B$34,$B$35,$B$36,$B$38,$B$39)*100),0,B39/SUM($B$32,$B$34,$B$35,$B$36,$B$38,$B$39)*100)</f>
        <v>21.980551053484604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1585</v>
      </c>
      <c r="C44" s="34" t="s">
        <v>111</v>
      </c>
      <c r="D44" s="176"/>
    </row>
    <row r="45" spans="1:7">
      <c r="A45" s="173" t="s">
        <v>72</v>
      </c>
      <c r="B45" s="33" t="str">
        <f t="shared" si="0"/>
        <v>-</v>
      </c>
      <c r="C45" s="34" t="s">
        <v>111</v>
      </c>
      <c r="D45" s="176"/>
    </row>
    <row r="46" spans="1:7">
      <c r="A46" s="173" t="s">
        <v>73</v>
      </c>
      <c r="B46" s="33">
        <f t="shared" si="0"/>
        <v>105.05181347150257</v>
      </c>
      <c r="C46" s="34" t="s">
        <v>111</v>
      </c>
      <c r="D46" s="176"/>
    </row>
    <row r="47" spans="1:7">
      <c r="A47" s="173" t="s">
        <v>74</v>
      </c>
      <c r="B47" s="33">
        <f t="shared" si="0"/>
        <v>567.27979274611403</v>
      </c>
      <c r="C47" s="34" t="s">
        <v>111</v>
      </c>
      <c r="D47" s="176"/>
    </row>
    <row r="48" spans="1:7">
      <c r="A48" s="173" t="s">
        <v>75</v>
      </c>
      <c r="B48" s="33">
        <f t="shared" si="0"/>
        <v>138.66839378238342</v>
      </c>
      <c r="C48" s="33">
        <f>B48*10</f>
        <v>1386.6839378238342</v>
      </c>
      <c r="D48" s="236"/>
    </row>
    <row r="49" spans="1:6">
      <c r="A49" s="173" t="s">
        <v>76</v>
      </c>
      <c r="B49" s="33" t="str">
        <f t="shared" si="0"/>
        <v>-</v>
      </c>
      <c r="C49" s="34" t="s">
        <v>111</v>
      </c>
      <c r="D49" s="236"/>
    </row>
    <row r="50" spans="1:6">
      <c r="A50" s="173" t="s">
        <v>77</v>
      </c>
      <c r="B50" s="33">
        <f t="shared" si="0"/>
        <v>10.899999999999991</v>
      </c>
      <c r="C50" s="33">
        <f>B50*2</f>
        <v>21.799999999999983</v>
      </c>
      <c r="D50" s="236"/>
    </row>
    <row r="51" spans="1:6">
      <c r="A51" s="173" t="s">
        <v>78</v>
      </c>
      <c r="B51" s="33">
        <f t="shared" si="0"/>
        <v>678.1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7750.792891631424</v>
      </c>
      <c r="C5" s="17">
        <f>IF(ISERROR('Eigen informatie GS &amp; warmtenet'!B58),0,'Eigen informatie GS &amp; warmtenet'!B58)</f>
        <v>0</v>
      </c>
      <c r="D5" s="30">
        <f>SUM(D6:D12)</f>
        <v>8211.6483882532739</v>
      </c>
      <c r="E5" s="17">
        <f>SUM(E6:E12)</f>
        <v>91.333208698111918</v>
      </c>
      <c r="F5" s="17">
        <f>SUM(F6:F12)</f>
        <v>1477.2787131452365</v>
      </c>
      <c r="G5" s="18"/>
      <c r="H5" s="17"/>
      <c r="I5" s="17"/>
      <c r="J5" s="17">
        <f>SUM(J6:J12)</f>
        <v>0</v>
      </c>
      <c r="K5" s="17"/>
      <c r="L5" s="17"/>
      <c r="M5" s="17"/>
      <c r="N5" s="17">
        <f>SUM(N6:N12)</f>
        <v>581.67993582804718</v>
      </c>
      <c r="O5" s="17">
        <f>B38*B39*B40</f>
        <v>0</v>
      </c>
      <c r="P5" s="17">
        <f>B46*B47*B48/1000-B46*B47*B48/1000/B49</f>
        <v>0</v>
      </c>
      <c r="R5" s="32"/>
    </row>
    <row r="6" spans="1:18">
      <c r="A6" s="32" t="s">
        <v>54</v>
      </c>
      <c r="B6" s="37">
        <f>B26</f>
        <v>2956.1177587020297</v>
      </c>
      <c r="C6" s="33"/>
      <c r="D6" s="37">
        <f>IF(ISERROR(TER_kantoor_gas_kWh/1000),0,TER_kantoor_gas_kWh/1000)*0.902</f>
        <v>1970.3926808273477</v>
      </c>
      <c r="E6" s="33">
        <f>$C$26*'E Balans VL '!I12/100/3.6*1000000</f>
        <v>11.485143339151755</v>
      </c>
      <c r="F6" s="33">
        <f>$C$26*('E Balans VL '!L12+'E Balans VL '!N12)/100/3.6*1000000</f>
        <v>449.59861257151118</v>
      </c>
      <c r="G6" s="34"/>
      <c r="H6" s="33"/>
      <c r="I6" s="33"/>
      <c r="J6" s="33">
        <f>$C$26*('E Balans VL '!D12+'E Balans VL '!E12)/100/3.6*1000000</f>
        <v>0</v>
      </c>
      <c r="K6" s="33"/>
      <c r="L6" s="33"/>
      <c r="M6" s="33"/>
      <c r="N6" s="33">
        <f>$C$26*'E Balans VL '!Y12/100/3.6*1000000</f>
        <v>1.6291750192310688</v>
      </c>
      <c r="O6" s="33"/>
      <c r="P6" s="33"/>
      <c r="R6" s="32"/>
    </row>
    <row r="7" spans="1:18">
      <c r="A7" s="32" t="s">
        <v>53</v>
      </c>
      <c r="B7" s="37">
        <f t="shared" ref="B7:B12" si="0">B27</f>
        <v>520.70085619583404</v>
      </c>
      <c r="C7" s="33"/>
      <c r="D7" s="37">
        <f>IF(ISERROR(TER_horeca_gas_kWh/1000),0,TER_horeca_gas_kWh/1000)*0.902</f>
        <v>364.3673698351983</v>
      </c>
      <c r="E7" s="33">
        <f>$C$27*'E Balans VL '!I9/100/3.6*1000000</f>
        <v>29.331218441855228</v>
      </c>
      <c r="F7" s="33">
        <f>$C$27*('E Balans VL '!L9+'E Balans VL '!N9)/100/3.6*1000000</f>
        <v>150.13895320299838</v>
      </c>
      <c r="G7" s="34"/>
      <c r="H7" s="33"/>
      <c r="I7" s="33"/>
      <c r="J7" s="33">
        <f>$C$27*('E Balans VL '!D9+'E Balans VL '!E9)/100/3.6*1000000</f>
        <v>0</v>
      </c>
      <c r="K7" s="33"/>
      <c r="L7" s="33"/>
      <c r="M7" s="33"/>
      <c r="N7" s="33">
        <f>$C$27*'E Balans VL '!Y9/100/3.6*1000000</f>
        <v>0.14376280057943902</v>
      </c>
      <c r="O7" s="33"/>
      <c r="P7" s="33"/>
      <c r="R7" s="32"/>
    </row>
    <row r="8" spans="1:18">
      <c r="A8" s="6" t="s">
        <v>52</v>
      </c>
      <c r="B8" s="37">
        <f t="shared" si="0"/>
        <v>2037.2929448488001</v>
      </c>
      <c r="C8" s="33"/>
      <c r="D8" s="37">
        <f>IF(ISERROR(TER_handel_gas_kWh/1000),0,TER_handel_gas_kWh/1000)*0.902</f>
        <v>868.92333582472043</v>
      </c>
      <c r="E8" s="33">
        <f>$C$28*'E Balans VL '!I13/100/3.6*1000000</f>
        <v>29.364303182672391</v>
      </c>
      <c r="F8" s="33">
        <f>$C$28*('E Balans VL '!L13+'E Balans VL '!N13)/100/3.6*1000000</f>
        <v>353.92522987136431</v>
      </c>
      <c r="G8" s="34"/>
      <c r="H8" s="33"/>
      <c r="I8" s="33"/>
      <c r="J8" s="33">
        <f>$C$28*('E Balans VL '!D13+'E Balans VL '!E13)/100/3.6*1000000</f>
        <v>0</v>
      </c>
      <c r="K8" s="33"/>
      <c r="L8" s="33"/>
      <c r="M8" s="33"/>
      <c r="N8" s="33">
        <f>$C$28*'E Balans VL '!Y13/100/3.6*1000000</f>
        <v>6.1039564588896607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654.595146867778</v>
      </c>
      <c r="C10" s="33"/>
      <c r="D10" s="37">
        <f>IF(ISERROR(TER_ander_gas_kWh/1000),0,TER_ander_gas_kWh/1000)*0.902</f>
        <v>610.43959891527709</v>
      </c>
      <c r="E10" s="33">
        <f>$C$30*'E Balans VL '!I14/100/3.6*1000000</f>
        <v>3.0103835091315316</v>
      </c>
      <c r="F10" s="33">
        <f>$C$30*('E Balans VL '!L14+'E Balans VL '!N14)/100/3.6*1000000</f>
        <v>196.20281330299318</v>
      </c>
      <c r="G10" s="34"/>
      <c r="H10" s="33"/>
      <c r="I10" s="33"/>
      <c r="J10" s="33">
        <f>$C$30*('E Balans VL '!D14+'E Balans VL '!E14)/100/3.6*1000000</f>
        <v>0</v>
      </c>
      <c r="K10" s="33"/>
      <c r="L10" s="33"/>
      <c r="M10" s="33"/>
      <c r="N10" s="33">
        <f>$C$30*'E Balans VL '!Y14/100/3.6*1000000</f>
        <v>455.64143254879605</v>
      </c>
      <c r="O10" s="33"/>
      <c r="P10" s="33"/>
      <c r="R10" s="32"/>
    </row>
    <row r="11" spans="1:18">
      <c r="A11" s="32" t="s">
        <v>55</v>
      </c>
      <c r="B11" s="37">
        <f t="shared" si="0"/>
        <v>93.534253345022009</v>
      </c>
      <c r="C11" s="33"/>
      <c r="D11" s="37">
        <f>IF(ISERROR(TER_onderwijs_gas_kWh/1000),0,TER_onderwijs_gas_kWh/1000)*0.902</f>
        <v>676.20567116403652</v>
      </c>
      <c r="E11" s="33">
        <f>$C$31*'E Balans VL '!I11/100/3.6*1000000</f>
        <v>8.676532055288734E-2</v>
      </c>
      <c r="F11" s="33">
        <f>$C$31*('E Balans VL '!L11+'E Balans VL '!N11)/100/3.6*1000000</f>
        <v>32.856433469850558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1488.5519316719601</v>
      </c>
      <c r="C12" s="33"/>
      <c r="D12" s="37">
        <f>IF(ISERROR(TER_rest_gas_kWh/1000),0,TER_rest_gas_kWh/1000)*0.902</f>
        <v>3721.3197316866936</v>
      </c>
      <c r="E12" s="33">
        <f>$C$32*'E Balans VL '!I8/100/3.6*1000000</f>
        <v>18.05539490474813</v>
      </c>
      <c r="F12" s="33">
        <f>$C$32*('E Balans VL '!L8+'E Balans VL '!N8)/100/3.6*1000000</f>
        <v>294.55667072651892</v>
      </c>
      <c r="G12" s="34"/>
      <c r="H12" s="33"/>
      <c r="I12" s="33"/>
      <c r="J12" s="33">
        <f>$C$32*('E Balans VL '!D8+'E Balans VL '!E8)/100/3.6*1000000</f>
        <v>0</v>
      </c>
      <c r="K12" s="33"/>
      <c r="L12" s="33"/>
      <c r="M12" s="33"/>
      <c r="N12" s="33">
        <f>$C$32*'E Balans VL '!Y8/100/3.6*1000000</f>
        <v>118.16160900055098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7750.792891631424</v>
      </c>
      <c r="C16" s="21">
        <f t="shared" ca="1" si="1"/>
        <v>0</v>
      </c>
      <c r="D16" s="21">
        <f t="shared" ca="1" si="1"/>
        <v>8211.6483882532739</v>
      </c>
      <c r="E16" s="21">
        <f t="shared" si="1"/>
        <v>91.333208698111918</v>
      </c>
      <c r="F16" s="21">
        <f t="shared" ca="1" si="1"/>
        <v>1477.2787131452365</v>
      </c>
      <c r="G16" s="21">
        <f t="shared" si="1"/>
        <v>0</v>
      </c>
      <c r="H16" s="21">
        <f t="shared" si="1"/>
        <v>0</v>
      </c>
      <c r="I16" s="21">
        <f t="shared" si="1"/>
        <v>0</v>
      </c>
      <c r="J16" s="21">
        <f t="shared" si="1"/>
        <v>0</v>
      </c>
      <c r="K16" s="21">
        <f t="shared" si="1"/>
        <v>0</v>
      </c>
      <c r="L16" s="21">
        <f t="shared" ca="1" si="1"/>
        <v>0</v>
      </c>
      <c r="M16" s="21">
        <f t="shared" si="1"/>
        <v>0</v>
      </c>
      <c r="N16" s="21">
        <f t="shared" ca="1" si="1"/>
        <v>581.67993582804718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0.21300288121942471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1650.9412176525295</v>
      </c>
      <c r="C20" s="23">
        <f t="shared" ref="C20:P20" ca="1" si="2">C16*C18</f>
        <v>0</v>
      </c>
      <c r="D20" s="23">
        <f t="shared" ca="1" si="2"/>
        <v>1658.7529744271615</v>
      </c>
      <c r="E20" s="23">
        <f t="shared" si="2"/>
        <v>20.732638374471406</v>
      </c>
      <c r="F20" s="23">
        <f t="shared" ca="1" si="2"/>
        <v>394.43341640977815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2956.1177587020297</v>
      </c>
      <c r="C26" s="39">
        <f>IF(ISERROR(B26*3.6/1000000/'E Balans VL '!Z12*100),0,B26*3.6/1000000/'E Balans VL '!Z12*100)</f>
        <v>6.2789405465216233E-2</v>
      </c>
      <c r="D26" s="239" t="s">
        <v>692</v>
      </c>
      <c r="F26" s="6"/>
    </row>
    <row r="27" spans="1:18">
      <c r="A27" s="233" t="s">
        <v>53</v>
      </c>
      <c r="B27" s="33">
        <f>IF(ISERROR(TER_horeca_ele_kWh/1000),0,TER_horeca_ele_kWh/1000)</f>
        <v>520.70085619583404</v>
      </c>
      <c r="C27" s="39">
        <f>IF(ISERROR(B27*3.6/1000000/'E Balans VL '!Z9*100),0,B27*3.6/1000000/'E Balans VL '!Z9*100)</f>
        <v>4.048766267820901E-2</v>
      </c>
      <c r="D27" s="239" t="s">
        <v>692</v>
      </c>
      <c r="F27" s="6"/>
    </row>
    <row r="28" spans="1:18">
      <c r="A28" s="173" t="s">
        <v>52</v>
      </c>
      <c r="B28" s="33">
        <f>IF(ISERROR(TER_handel_ele_kWh/1000),0,TER_handel_ele_kWh/1000)</f>
        <v>2037.2929448488001</v>
      </c>
      <c r="C28" s="39">
        <f>IF(ISERROR(B28*3.6/1000000/'E Balans VL '!Z13*100),0,B28*3.6/1000000/'E Balans VL '!Z13*100)</f>
        <v>5.8289348806070757E-2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654.595146867778</v>
      </c>
      <c r="C30" s="39">
        <f>IF(ISERROR(B30*3.6/1000000/'E Balans VL '!Z14*100),0,B30*3.6/1000000/'E Balans VL '!Z14*100)</f>
        <v>4.7901787933893873E-2</v>
      </c>
      <c r="D30" s="239" t="s">
        <v>692</v>
      </c>
      <c r="F30" s="6"/>
    </row>
    <row r="31" spans="1:18">
      <c r="A31" s="233" t="s">
        <v>55</v>
      </c>
      <c r="B31" s="33">
        <f>IF(ISERROR(TER_onderwijs_ele_kWh/1000),0,TER_onderwijs_ele_kWh/1000)</f>
        <v>93.534253345022009</v>
      </c>
      <c r="C31" s="39">
        <f>IF(ISERROR(B31*3.6/1000000/'E Balans VL '!Z11*100),0,B31*3.6/1000000/'E Balans VL '!Z11*100)</f>
        <v>1.8786424240968942E-2</v>
      </c>
      <c r="D31" s="239" t="s">
        <v>692</v>
      </c>
    </row>
    <row r="32" spans="1:18">
      <c r="A32" s="233" t="s">
        <v>260</v>
      </c>
      <c r="B32" s="33">
        <f>IF(ISERROR(TER_rest_ele_kWh/1000),0,TER_rest_ele_kWh/1000)</f>
        <v>1488.5519316719601</v>
      </c>
      <c r="C32" s="39">
        <f>IF(ISERROR(B32*3.6/1000000/'E Balans VL '!Z8*100),0,B32*3.6/1000000/'E Balans VL '!Z8*100)</f>
        <v>1.2130794886857947E-2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37892.498316359175</v>
      </c>
      <c r="C5" s="17">
        <f>IF(ISERROR('Eigen informatie GS &amp; warmtenet'!B59),0,'Eigen informatie GS &amp; warmtenet'!B59)</f>
        <v>0</v>
      </c>
      <c r="D5" s="30">
        <f>SUM(D6:D15)</f>
        <v>128691.8915758931</v>
      </c>
      <c r="E5" s="17">
        <f>SUM(E6:E15)</f>
        <v>2454.6590489179962</v>
      </c>
      <c r="F5" s="17">
        <f>SUM(F6:F15)</f>
        <v>19618.811888331817</v>
      </c>
      <c r="G5" s="18"/>
      <c r="H5" s="17"/>
      <c r="I5" s="17"/>
      <c r="J5" s="17">
        <f>SUM(J6:J15)</f>
        <v>72.638844826346812</v>
      </c>
      <c r="K5" s="17"/>
      <c r="L5" s="17"/>
      <c r="M5" s="17"/>
      <c r="N5" s="17">
        <f>SUM(N6:N15)</f>
        <v>8233.7801836128292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366.29516525891705</v>
      </c>
      <c r="C8" s="33"/>
      <c r="D8" s="37">
        <f>IF( ISERROR(IND_metaal_Gas_kWH/1000),0,IND_metaal_Gas_kWH/1000)*0.902</f>
        <v>0</v>
      </c>
      <c r="E8" s="33">
        <f>C30*'E Balans VL '!I18/100/3.6*1000000</f>
        <v>10.521372049615316</v>
      </c>
      <c r="F8" s="33">
        <f>C30*'E Balans VL '!L18/100/3.6*1000000+C30*'E Balans VL '!N18/100/3.6*1000000</f>
        <v>93.947665020457194</v>
      </c>
      <c r="G8" s="34"/>
      <c r="H8" s="33"/>
      <c r="I8" s="33"/>
      <c r="J8" s="40">
        <f>C30*'E Balans VL '!D18/100/3.6*1000000+C30*'E Balans VL '!E18/100/3.6*1000000</f>
        <v>0</v>
      </c>
      <c r="K8" s="33"/>
      <c r="L8" s="33"/>
      <c r="M8" s="33"/>
      <c r="N8" s="33">
        <f>C30*'E Balans VL '!Y18/100/3.6*1000000</f>
        <v>9.9456614511463606</v>
      </c>
      <c r="O8" s="33"/>
      <c r="P8" s="33"/>
      <c r="R8" s="32"/>
    </row>
    <row r="9" spans="1:18">
      <c r="A9" s="6" t="s">
        <v>33</v>
      </c>
      <c r="B9" s="37">
        <f t="shared" si="0"/>
        <v>690.43605662258699</v>
      </c>
      <c r="C9" s="33"/>
      <c r="D9" s="37">
        <f>IF( ISERROR(IND_andere_gas_kWh/1000),0,IND_andere_gas_kWh/1000)*0.902</f>
        <v>294.39390927652261</v>
      </c>
      <c r="E9" s="33">
        <f>C31*'E Balans VL '!I19/100/3.6*1000000</f>
        <v>186.88406474848492</v>
      </c>
      <c r="F9" s="33">
        <f>C31*'E Balans VL '!L19/100/3.6*1000000+C31*'E Balans VL '!N19/100/3.6*1000000</f>
        <v>459.90347710766491</v>
      </c>
      <c r="G9" s="34"/>
      <c r="H9" s="33"/>
      <c r="I9" s="33"/>
      <c r="J9" s="40">
        <f>C31*'E Balans VL '!D19/100/3.6*1000000+C31*'E Balans VL '!E19/100/3.6*1000000</f>
        <v>0</v>
      </c>
      <c r="K9" s="33"/>
      <c r="L9" s="33"/>
      <c r="M9" s="33"/>
      <c r="N9" s="33">
        <f>C31*'E Balans VL '!Y19/100/3.6*1000000</f>
        <v>225.41590336249089</v>
      </c>
      <c r="O9" s="33"/>
      <c r="P9" s="33"/>
      <c r="R9" s="32"/>
    </row>
    <row r="10" spans="1:18">
      <c r="A10" s="6" t="s">
        <v>41</v>
      </c>
      <c r="B10" s="37">
        <f t="shared" si="0"/>
        <v>8319.2030364931306</v>
      </c>
      <c r="C10" s="33"/>
      <c r="D10" s="37">
        <f>IF( ISERROR(IND_voed_gas_kWh/1000),0,IND_voed_gas_kWh/1000)*0.902</f>
        <v>220.62538947319675</v>
      </c>
      <c r="E10" s="33">
        <f>C32*'E Balans VL '!I20/100/3.6*1000000</f>
        <v>678.53331252801331</v>
      </c>
      <c r="F10" s="33">
        <f>C32*'E Balans VL '!L20/100/3.6*1000000+C32*'E Balans VL '!N20/100/3.6*1000000</f>
        <v>12404.686511645898</v>
      </c>
      <c r="G10" s="34"/>
      <c r="H10" s="33"/>
      <c r="I10" s="33"/>
      <c r="J10" s="40">
        <f>C32*'E Balans VL '!D20/100/3.6*1000000+C32*'E Balans VL '!E20/100/3.6*1000000</f>
        <v>0.11005295801499185</v>
      </c>
      <c r="K10" s="33"/>
      <c r="L10" s="33"/>
      <c r="M10" s="33"/>
      <c r="N10" s="33">
        <f>C32*'E Balans VL '!Y20/100/3.6*1000000</f>
        <v>2443.8882990997181</v>
      </c>
      <c r="O10" s="33"/>
      <c r="P10" s="33"/>
      <c r="R10" s="32"/>
    </row>
    <row r="11" spans="1:18">
      <c r="A11" s="6" t="s">
        <v>40</v>
      </c>
      <c r="B11" s="37">
        <f t="shared" si="0"/>
        <v>218.861236085239</v>
      </c>
      <c r="C11" s="33"/>
      <c r="D11" s="37">
        <f>IF( ISERROR(IND_textiel_gas_kWh/1000),0,IND_textiel_gas_kWh/1000)*0.902</f>
        <v>0</v>
      </c>
      <c r="E11" s="33">
        <f>C33*'E Balans VL '!I21/100/3.6*1000000</f>
        <v>4.33827748294595E-2</v>
      </c>
      <c r="F11" s="33">
        <f>C33*'E Balans VL '!L21/100/3.6*1000000+C33*'E Balans VL '!N21/100/3.6*1000000</f>
        <v>8.0609233819436419</v>
      </c>
      <c r="G11" s="34"/>
      <c r="H11" s="33"/>
      <c r="I11" s="33"/>
      <c r="J11" s="40">
        <f>C33*'E Balans VL '!D21/100/3.6*1000000+C33*'E Balans VL '!E21/100/3.6*1000000</f>
        <v>0</v>
      </c>
      <c r="K11" s="33"/>
      <c r="L11" s="33"/>
      <c r="M11" s="33"/>
      <c r="N11" s="33">
        <f>C33*'E Balans VL '!Y21/100/3.6*1000000</f>
        <v>1.0176494980617612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28297.7028218993</v>
      </c>
      <c r="C15" s="33"/>
      <c r="D15" s="37">
        <f>IF( ISERROR(IND_rest_gas_kWh/1000),0,IND_rest_gas_kWh/1000)*0.902</f>
        <v>128176.87227714338</v>
      </c>
      <c r="E15" s="33">
        <f>C37*'E Balans VL '!I15/100/3.6*1000000</f>
        <v>1578.6769168170533</v>
      </c>
      <c r="F15" s="33">
        <f>C37*'E Balans VL '!L15/100/3.6*1000000+C37*'E Balans VL '!N15/100/3.6*1000000</f>
        <v>6652.2133111758558</v>
      </c>
      <c r="G15" s="34"/>
      <c r="H15" s="33"/>
      <c r="I15" s="33"/>
      <c r="J15" s="40">
        <f>C37*'E Balans VL '!D15/100/3.6*1000000+C37*'E Balans VL '!E15/100/3.6*1000000</f>
        <v>72.528791868331822</v>
      </c>
      <c r="K15" s="33"/>
      <c r="L15" s="33"/>
      <c r="M15" s="33"/>
      <c r="N15" s="33">
        <f>C37*'E Balans VL '!Y15/100/3.6*1000000</f>
        <v>5553.5126702014113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37892.498316359175</v>
      </c>
      <c r="C18" s="21">
        <f>C5+C16</f>
        <v>0</v>
      </c>
      <c r="D18" s="21">
        <f>MAX((D5+D16),0)</f>
        <v>128691.8915758931</v>
      </c>
      <c r="E18" s="21">
        <f>MAX((E5+E16),0)</f>
        <v>2454.6590489179962</v>
      </c>
      <c r="F18" s="21">
        <f>MAX((F5+F16),0)</f>
        <v>19618.811888331817</v>
      </c>
      <c r="G18" s="21"/>
      <c r="H18" s="21"/>
      <c r="I18" s="21"/>
      <c r="J18" s="21">
        <f>MAX((J5+J16),0)</f>
        <v>72.638844826346812</v>
      </c>
      <c r="K18" s="21"/>
      <c r="L18" s="21">
        <f>MAX((L5+L16),0)</f>
        <v>0</v>
      </c>
      <c r="M18" s="21"/>
      <c r="N18" s="21">
        <f>MAX((N5+N16),0)</f>
        <v>8233.7801836128292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0.21300288121942471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8071.2113179867038</v>
      </c>
      <c r="C22" s="23">
        <f ca="1">C18*C20</f>
        <v>0</v>
      </c>
      <c r="D22" s="23">
        <f>D18*D20</f>
        <v>25995.762098330408</v>
      </c>
      <c r="E22" s="23">
        <f>E18*E20</f>
        <v>557.20760410438515</v>
      </c>
      <c r="F22" s="23">
        <f>F18*F20</f>
        <v>5238.2227741845954</v>
      </c>
      <c r="G22" s="23"/>
      <c r="H22" s="23"/>
      <c r="I22" s="23"/>
      <c r="J22" s="23">
        <f>J18*J20</f>
        <v>25.714151068526771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366.29516525891705</v>
      </c>
      <c r="C30" s="39">
        <f>IF(ISERROR(B30*3.6/1000000/'E Balans VL '!Z18*100),0,B30*3.6/1000000/'E Balans VL '!Z18*100)</f>
        <v>3.6042509209526993E-2</v>
      </c>
      <c r="D30" s="239" t="s">
        <v>692</v>
      </c>
    </row>
    <row r="31" spans="1:18">
      <c r="A31" s="6" t="s">
        <v>33</v>
      </c>
      <c r="B31" s="37">
        <f>IF( ISERROR(IND_ander_ele_kWh/1000),0,IND_ander_ele_kWh/1000)</f>
        <v>690.43605662258699</v>
      </c>
      <c r="C31" s="39">
        <f>IF(ISERROR(B31*3.6/1000000/'E Balans VL '!Z19*100),0,B31*3.6/1000000/'E Balans VL '!Z19*100)</f>
        <v>3.0067939510496598E-2</v>
      </c>
      <c r="D31" s="239" t="s">
        <v>692</v>
      </c>
    </row>
    <row r="32" spans="1:18">
      <c r="A32" s="173" t="s">
        <v>41</v>
      </c>
      <c r="B32" s="37">
        <f>IF( ISERROR(IND_voed_ele_kWh/1000),0,IND_voed_ele_kWh/1000)</f>
        <v>8319.2030364931306</v>
      </c>
      <c r="C32" s="39">
        <f>IF(ISERROR(B32*3.6/1000000/'E Balans VL '!Z20*100),0,B32*3.6/1000000/'E Balans VL '!Z20*100)</f>
        <v>1.5784488002149606</v>
      </c>
      <c r="D32" s="239" t="s">
        <v>692</v>
      </c>
    </row>
    <row r="33" spans="1:5">
      <c r="A33" s="173" t="s">
        <v>40</v>
      </c>
      <c r="B33" s="37">
        <f>IF( ISERROR(IND_textiel_ele_kWh/1000),0,IND_textiel_ele_kWh/1000)</f>
        <v>218.861236085239</v>
      </c>
      <c r="C33" s="39">
        <f>IF(ISERROR(B33*3.6/1000000/'E Balans VL '!Z21*100),0,B33*3.6/1000000/'E Balans VL '!Z21*100)</f>
        <v>1.2495866679249405E-2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28297.7028218993</v>
      </c>
      <c r="C37" s="39">
        <f>IF(ISERROR(B37*3.6/1000000/'E Balans VL '!Z15*100),0,B37*3.6/1000000/'E Balans VL '!Z15*100)</f>
        <v>0.2180685569861564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1263.3571360048984</v>
      </c>
      <c r="C5" s="17">
        <f>'Eigen informatie GS &amp; warmtenet'!B60</f>
        <v>0</v>
      </c>
      <c r="D5" s="30">
        <f>IF(ISERROR(SUM(LB_lb_gas_kWh,LB_rest_gas_kWh)/1000),0,SUM(LB_lb_gas_kWh,LB_rest_gas_kWh)/1000)*0.902</f>
        <v>26518.540242557207</v>
      </c>
      <c r="E5" s="17">
        <f>B17*'E Balans VL '!I25/3.6*1000000/100</f>
        <v>15.919927448564229</v>
      </c>
      <c r="F5" s="17">
        <f>B17*('E Balans VL '!L25/3.6*1000000+'E Balans VL '!N25/3.6*1000000)/100</f>
        <v>4358.8986090905146</v>
      </c>
      <c r="G5" s="18"/>
      <c r="H5" s="17"/>
      <c r="I5" s="17"/>
      <c r="J5" s="17">
        <f>('E Balans VL '!D25+'E Balans VL '!E25)/3.6*1000000*landbouw!B17/100</f>
        <v>189.9945519180734</v>
      </c>
      <c r="K5" s="17"/>
      <c r="L5" s="17">
        <f>L6*(-1)</f>
        <v>0</v>
      </c>
      <c r="M5" s="17"/>
      <c r="N5" s="17">
        <f>N6*(-1)</f>
        <v>0</v>
      </c>
      <c r="O5" s="17"/>
      <c r="P5" s="17"/>
      <c r="R5" s="32"/>
    </row>
    <row r="6" spans="1:18">
      <c r="A6" s="16" t="s">
        <v>497</v>
      </c>
      <c r="B6" s="17" t="s">
        <v>211</v>
      </c>
      <c r="C6" s="17">
        <f>'lokale energieproductie'!O92+'lokale energieproductie'!O61</f>
        <v>12857.142857142857</v>
      </c>
      <c r="D6" s="312">
        <f>('lokale energieproductie'!P61+'lokale energieproductie'!P92)*(-1)</f>
        <v>-25714.285714285717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1263.3571360048984</v>
      </c>
      <c r="C8" s="21">
        <f>C5+C6</f>
        <v>12857.142857142857</v>
      </c>
      <c r="D8" s="21">
        <f>MAX((D5+D6),0)</f>
        <v>804.25452827148911</v>
      </c>
      <c r="E8" s="21">
        <f>MAX((E5+E6),0)</f>
        <v>15.919927448564229</v>
      </c>
      <c r="F8" s="21">
        <f>MAX((F5+F6),0)</f>
        <v>4358.8986090905146</v>
      </c>
      <c r="G8" s="21"/>
      <c r="H8" s="21"/>
      <c r="I8" s="21"/>
      <c r="J8" s="21">
        <f>MAX((J5+J6),0)</f>
        <v>189.9945519180734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0.21300288121942471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269.09870997816398</v>
      </c>
      <c r="C12" s="23">
        <f ca="1">C8*C10</f>
        <v>3055.4621848739503</v>
      </c>
      <c r="D12" s="23">
        <f>D8*D10</f>
        <v>162.4594147108408</v>
      </c>
      <c r="E12" s="23">
        <f>E8*E10</f>
        <v>3.6138235308240803</v>
      </c>
      <c r="F12" s="23">
        <f>F8*F10</f>
        <v>1163.8259286271675</v>
      </c>
      <c r="G12" s="23"/>
      <c r="H12" s="23"/>
      <c r="I12" s="23"/>
      <c r="J12" s="23">
        <f>J8*J10</f>
        <v>67.258071378997982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0.17619850176708501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229.59717987044056</v>
      </c>
      <c r="C26" s="249">
        <f>B26*'GWP N2O_CH4'!B5</f>
        <v>4821.5407772792514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133.57972405031995</v>
      </c>
      <c r="C27" s="249">
        <f>B27*'GWP N2O_CH4'!B5</f>
        <v>2805.1742050567191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3.5682313338423244</v>
      </c>
      <c r="C28" s="249">
        <f>B28*'GWP N2O_CH4'!B4</f>
        <v>1106.1517134911205</v>
      </c>
      <c r="D28" s="50"/>
    </row>
    <row r="29" spans="1:4">
      <c r="A29" s="41" t="s">
        <v>277</v>
      </c>
      <c r="B29" s="249">
        <f>B34*'ha_N2O bodem landbouw'!B4</f>
        <v>5.6468796995832067</v>
      </c>
      <c r="C29" s="249">
        <f>B29*'GWP N2O_CH4'!B4</f>
        <v>1750.5327068707941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1.4099694357891292E-3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4.9517565272195477E-6</v>
      </c>
      <c r="C5" s="448" t="s">
        <v>211</v>
      </c>
      <c r="D5" s="433">
        <f>SUM(D6:D11)</f>
        <v>8.5514594113872504E-6</v>
      </c>
      <c r="E5" s="433">
        <f>SUM(E6:E11)</f>
        <v>2.598775062170547E-4</v>
      </c>
      <c r="F5" s="446" t="s">
        <v>211</v>
      </c>
      <c r="G5" s="433">
        <f>SUM(G6:G11)</f>
        <v>0.10289126649925398</v>
      </c>
      <c r="H5" s="433">
        <f>SUM(H6:H11)</f>
        <v>1.2768092658593733E-2</v>
      </c>
      <c r="I5" s="448" t="s">
        <v>211</v>
      </c>
      <c r="J5" s="448" t="s">
        <v>211</v>
      </c>
      <c r="K5" s="448" t="s">
        <v>211</v>
      </c>
      <c r="L5" s="448" t="s">
        <v>211</v>
      </c>
      <c r="M5" s="433">
        <f>SUM(M6:M11)</f>
        <v>5.225473355856265E-3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3.5614148881374702E-6</v>
      </c>
      <c r="C6" s="887"/>
      <c r="D6" s="887">
        <f>vkm_2011_GW_PW*SUMIFS(TableVerdeelsleutelVkm[CNG],TableVerdeelsleutelVkm[Voertuigtype],"Lichte voertuigen")*SUMIFS(TableECFTransport[EnergieConsumptieFactor (PJ per km)],TableECFTransport[Index],CONCATENATE($A6,"_CNG_CNG"))</f>
        <v>5.0436600253147767E-6</v>
      </c>
      <c r="E6" s="887">
        <f>vkm_2011_GW_PW*SUMIFS(TableVerdeelsleutelVkm[LPG],TableVerdeelsleutelVkm[Voertuigtype],"Lichte voertuigen")*SUMIFS(TableECFTransport[EnergieConsumptieFactor (PJ per km)],TableECFTransport[Index],CONCATENATE($A6,"_LPG_LPG"))</f>
        <v>1.5840475722798036E-4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2.8469672319145701E-2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7.6286777820520069E-3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1.6332047027210273E-3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3.9351557641532468E-2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1.3981200481784643E-5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1.7758112572724056E-3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1.3903416390820771E-6</v>
      </c>
      <c r="C8" s="887"/>
      <c r="D8" s="436">
        <f>vkm_2011_NGW_PW*SUMIFS(TableVerdeelsleutelVkm[CNG],TableVerdeelsleutelVkm[Voertuigtype],"Lichte voertuigen")*SUMIFS(TableECFTransport[EnergieConsumptieFactor (PJ per km)],TableECFTransport[Index],CONCATENATE($A8,"_CNG_CNG"))</f>
        <v>3.5077993860724732E-6</v>
      </c>
      <c r="E8" s="436">
        <f>vkm_2011_NGW_PW*SUMIFS(TableVerdeelsleutelVkm[LPG],TableVerdeelsleutelVkm[Voertuigtype],"Lichte voertuigen")*SUMIFS(TableECFTransport[EnergieConsumptieFactor (PJ per km)],TableECFTransport[Index],CONCATENATE($A8,"_LPG_LPG"))</f>
        <v>1.0147274898907433E-4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1.7200614934549722E-2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5.1194258447080617E-3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1.0100825478717513E-3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1.7869421604026093E-2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6.0078313518800437E-6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8.0637484799108122E-4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1.3754879242276523</v>
      </c>
      <c r="C14" s="21"/>
      <c r="D14" s="21">
        <f t="shared" ref="D14:M14" si="0">((D5)*10^9/3600)+D12</f>
        <v>2.3754053920520137</v>
      </c>
      <c r="E14" s="21">
        <f t="shared" si="0"/>
        <v>72.188196171404087</v>
      </c>
      <c r="F14" s="21"/>
      <c r="G14" s="21">
        <f t="shared" si="0"/>
        <v>28580.907360903882</v>
      </c>
      <c r="H14" s="21">
        <f t="shared" si="0"/>
        <v>3546.6924051649257</v>
      </c>
      <c r="I14" s="21"/>
      <c r="J14" s="21"/>
      <c r="K14" s="21"/>
      <c r="L14" s="21"/>
      <c r="M14" s="21">
        <f t="shared" si="0"/>
        <v>1451.5203766267402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0.21300288121942471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0.29298289094301566</v>
      </c>
      <c r="C18" s="23"/>
      <c r="D18" s="23">
        <f t="shared" ref="D18:M18" si="1">D14*D16</f>
        <v>0.47983188919450681</v>
      </c>
      <c r="E18" s="23">
        <f t="shared" si="1"/>
        <v>16.386720530908729</v>
      </c>
      <c r="F18" s="23"/>
      <c r="G18" s="23">
        <f t="shared" si="1"/>
        <v>7631.1022653613372</v>
      </c>
      <c r="H18" s="23">
        <f t="shared" si="1"/>
        <v>883.12640888606654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5.915695685363132E-4</v>
      </c>
      <c r="H50" s="323">
        <f t="shared" si="2"/>
        <v>0</v>
      </c>
      <c r="I50" s="323">
        <f t="shared" si="2"/>
        <v>0</v>
      </c>
      <c r="J50" s="323">
        <f t="shared" si="2"/>
        <v>0</v>
      </c>
      <c r="K50" s="323">
        <f t="shared" si="2"/>
        <v>0</v>
      </c>
      <c r="L50" s="323">
        <f t="shared" si="2"/>
        <v>0</v>
      </c>
      <c r="M50" s="323">
        <f t="shared" si="2"/>
        <v>2.6308545642506482E-5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5.915695685363132E-4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2.6308545642506482E-5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164.32488014897589</v>
      </c>
      <c r="H54" s="21">
        <f t="shared" si="3"/>
        <v>0</v>
      </c>
      <c r="I54" s="21">
        <f t="shared" si="3"/>
        <v>0</v>
      </c>
      <c r="J54" s="21">
        <f t="shared" si="3"/>
        <v>0</v>
      </c>
      <c r="K54" s="21">
        <f t="shared" si="3"/>
        <v>0</v>
      </c>
      <c r="L54" s="21">
        <f t="shared" si="3"/>
        <v>0</v>
      </c>
      <c r="M54" s="21">
        <f t="shared" si="3"/>
        <v>7.307929345140689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0.21300288121942471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43.874742999776565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8450.694891631425</v>
      </c>
      <c r="D10" s="690">
        <f ca="1">tertiair!C16</f>
        <v>0</v>
      </c>
      <c r="E10" s="690">
        <f ca="1">tertiair!D16</f>
        <v>8211.6483882532739</v>
      </c>
      <c r="F10" s="690">
        <f>tertiair!E16</f>
        <v>91.333208698111918</v>
      </c>
      <c r="G10" s="690">
        <f ca="1">tertiair!F16</f>
        <v>1477.2787131452365</v>
      </c>
      <c r="H10" s="690">
        <f>tertiair!G16</f>
        <v>0</v>
      </c>
      <c r="I10" s="690">
        <f>tertiair!H16</f>
        <v>0</v>
      </c>
      <c r="J10" s="690">
        <f>tertiair!I16</f>
        <v>0</v>
      </c>
      <c r="K10" s="690">
        <f>tertiair!J16</f>
        <v>0</v>
      </c>
      <c r="L10" s="690">
        <f>tertiair!K16</f>
        <v>0</v>
      </c>
      <c r="M10" s="690">
        <f ca="1">tertiair!L16</f>
        <v>0</v>
      </c>
      <c r="N10" s="690">
        <f>tertiair!M16</f>
        <v>0</v>
      </c>
      <c r="O10" s="690">
        <f ca="1">tertiair!N16</f>
        <v>581.67993582804718</v>
      </c>
      <c r="P10" s="690">
        <f>tertiair!O16</f>
        <v>0</v>
      </c>
      <c r="Q10" s="691">
        <f>tertiair!P16</f>
        <v>0</v>
      </c>
      <c r="R10" s="693">
        <f ca="1">SUM(C10:Q10)</f>
        <v>18812.635137556095</v>
      </c>
      <c r="S10" s="67"/>
    </row>
    <row r="11" spans="1:19" s="458" customFormat="1">
      <c r="A11" s="805" t="s">
        <v>225</v>
      </c>
      <c r="B11" s="810"/>
      <c r="C11" s="690">
        <f>huishoudens!B8</f>
        <v>14138.882382495602</v>
      </c>
      <c r="D11" s="690">
        <f>huishoudens!C8</f>
        <v>0</v>
      </c>
      <c r="E11" s="690">
        <f>huishoudens!D8</f>
        <v>23886.087492759736</v>
      </c>
      <c r="F11" s="690">
        <f>huishoudens!E8</f>
        <v>2189.0385085843636</v>
      </c>
      <c r="G11" s="690">
        <f>huishoudens!F8</f>
        <v>17147.032861628879</v>
      </c>
      <c r="H11" s="690">
        <f>huishoudens!G8</f>
        <v>0</v>
      </c>
      <c r="I11" s="690">
        <f>huishoudens!H8</f>
        <v>0</v>
      </c>
      <c r="J11" s="690">
        <f>huishoudens!I8</f>
        <v>0</v>
      </c>
      <c r="K11" s="690">
        <f>huishoudens!J8</f>
        <v>443.44551258396166</v>
      </c>
      <c r="L11" s="690">
        <f>huishoudens!K8</f>
        <v>0</v>
      </c>
      <c r="M11" s="690">
        <f>huishoudens!L8</f>
        <v>0</v>
      </c>
      <c r="N11" s="690">
        <f>huishoudens!M8</f>
        <v>0</v>
      </c>
      <c r="O11" s="690">
        <f>huishoudens!N8</f>
        <v>10832.641228910645</v>
      </c>
      <c r="P11" s="690">
        <f>huishoudens!O8</f>
        <v>121.94000000000001</v>
      </c>
      <c r="Q11" s="691">
        <f>huishoudens!P8</f>
        <v>209.73333333333335</v>
      </c>
      <c r="R11" s="693">
        <f>SUM(C11:Q11)</f>
        <v>68968.801320296538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37892.498316359175</v>
      </c>
      <c r="D13" s="690">
        <f>industrie!C18</f>
        <v>0</v>
      </c>
      <c r="E13" s="690">
        <f>industrie!D18</f>
        <v>128691.8915758931</v>
      </c>
      <c r="F13" s="690">
        <f>industrie!E18</f>
        <v>2454.6590489179962</v>
      </c>
      <c r="G13" s="690">
        <f>industrie!F18</f>
        <v>19618.811888331817</v>
      </c>
      <c r="H13" s="690">
        <f>industrie!G18</f>
        <v>0</v>
      </c>
      <c r="I13" s="690">
        <f>industrie!H18</f>
        <v>0</v>
      </c>
      <c r="J13" s="690">
        <f>industrie!I18</f>
        <v>0</v>
      </c>
      <c r="K13" s="690">
        <f>industrie!J18</f>
        <v>72.638844826346812</v>
      </c>
      <c r="L13" s="690">
        <f>industrie!K18</f>
        <v>0</v>
      </c>
      <c r="M13" s="690">
        <f>industrie!L18</f>
        <v>0</v>
      </c>
      <c r="N13" s="690">
        <f>industrie!M18</f>
        <v>0</v>
      </c>
      <c r="O13" s="690">
        <f>industrie!N18</f>
        <v>8233.7801836128292</v>
      </c>
      <c r="P13" s="690">
        <f>industrie!O18</f>
        <v>0</v>
      </c>
      <c r="Q13" s="691">
        <f>industrie!P18</f>
        <v>0</v>
      </c>
      <c r="R13" s="693">
        <f>SUM(C13:Q13)</f>
        <v>196964.27985794126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60482.075590486202</v>
      </c>
      <c r="D16" s="725">
        <f t="shared" ref="D16:R16" ca="1" si="0">SUM(D9:D15)</f>
        <v>0</v>
      </c>
      <c r="E16" s="725">
        <f t="shared" ca="1" si="0"/>
        <v>160789.62745690611</v>
      </c>
      <c r="F16" s="725">
        <f t="shared" si="0"/>
        <v>4735.0307662004716</v>
      </c>
      <c r="G16" s="725">
        <f t="shared" ca="1" si="0"/>
        <v>38243.123463105934</v>
      </c>
      <c r="H16" s="725">
        <f t="shared" si="0"/>
        <v>0</v>
      </c>
      <c r="I16" s="725">
        <f t="shared" si="0"/>
        <v>0</v>
      </c>
      <c r="J16" s="725">
        <f t="shared" si="0"/>
        <v>0</v>
      </c>
      <c r="K16" s="725">
        <f t="shared" si="0"/>
        <v>516.08435741030848</v>
      </c>
      <c r="L16" s="725">
        <f t="shared" si="0"/>
        <v>0</v>
      </c>
      <c r="M16" s="725">
        <f t="shared" ca="1" si="0"/>
        <v>0</v>
      </c>
      <c r="N16" s="725">
        <f t="shared" si="0"/>
        <v>0</v>
      </c>
      <c r="O16" s="725">
        <f t="shared" ca="1" si="0"/>
        <v>19648.10134835152</v>
      </c>
      <c r="P16" s="725">
        <f t="shared" si="0"/>
        <v>121.94000000000001</v>
      </c>
      <c r="Q16" s="725">
        <f t="shared" si="0"/>
        <v>209.73333333333335</v>
      </c>
      <c r="R16" s="725">
        <f t="shared" ca="1" si="0"/>
        <v>284745.71631579392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164.32488014897589</v>
      </c>
      <c r="I19" s="690">
        <f>transport!H54</f>
        <v>0</v>
      </c>
      <c r="J19" s="690">
        <f>transport!I54</f>
        <v>0</v>
      </c>
      <c r="K19" s="690">
        <f>transport!J54</f>
        <v>0</v>
      </c>
      <c r="L19" s="690">
        <f>transport!K54</f>
        <v>0</v>
      </c>
      <c r="M19" s="690">
        <f>transport!L54</f>
        <v>0</v>
      </c>
      <c r="N19" s="690">
        <f>transport!M54</f>
        <v>7.307929345140689</v>
      </c>
      <c r="O19" s="690">
        <f>transport!N54</f>
        <v>0</v>
      </c>
      <c r="P19" s="690">
        <f>transport!O54</f>
        <v>0</v>
      </c>
      <c r="Q19" s="691">
        <f>transport!P54</f>
        <v>0</v>
      </c>
      <c r="R19" s="693">
        <f>SUM(C19:Q19)</f>
        <v>171.63280949411657</v>
      </c>
      <c r="S19" s="67"/>
    </row>
    <row r="20" spans="1:19" s="458" customFormat="1">
      <c r="A20" s="805" t="s">
        <v>307</v>
      </c>
      <c r="B20" s="810"/>
      <c r="C20" s="690">
        <f>transport!B14</f>
        <v>1.3754879242276523</v>
      </c>
      <c r="D20" s="690">
        <f>transport!C14</f>
        <v>0</v>
      </c>
      <c r="E20" s="690">
        <f>transport!D14</f>
        <v>2.3754053920520137</v>
      </c>
      <c r="F20" s="690">
        <f>transport!E14</f>
        <v>72.188196171404087</v>
      </c>
      <c r="G20" s="690">
        <f>transport!F14</f>
        <v>0</v>
      </c>
      <c r="H20" s="690">
        <f>transport!G14</f>
        <v>28580.907360903882</v>
      </c>
      <c r="I20" s="690">
        <f>transport!H14</f>
        <v>3546.6924051649257</v>
      </c>
      <c r="J20" s="690">
        <f>transport!I14</f>
        <v>0</v>
      </c>
      <c r="K20" s="690">
        <f>transport!J14</f>
        <v>0</v>
      </c>
      <c r="L20" s="690">
        <f>transport!K14</f>
        <v>0</v>
      </c>
      <c r="M20" s="690">
        <f>transport!L14</f>
        <v>0</v>
      </c>
      <c r="N20" s="690">
        <f>transport!M14</f>
        <v>1451.5203766267402</v>
      </c>
      <c r="O20" s="690">
        <f>transport!N14</f>
        <v>0</v>
      </c>
      <c r="P20" s="690">
        <f>transport!O14</f>
        <v>0</v>
      </c>
      <c r="Q20" s="691">
        <f>transport!P14</f>
        <v>0</v>
      </c>
      <c r="R20" s="693">
        <f>SUM(C20:Q20)</f>
        <v>33655.05923218323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1.3754879242276523</v>
      </c>
      <c r="D22" s="808">
        <f t="shared" ref="D22:R22" si="1">SUM(D18:D21)</f>
        <v>0</v>
      </c>
      <c r="E22" s="808">
        <f t="shared" si="1"/>
        <v>2.3754053920520137</v>
      </c>
      <c r="F22" s="808">
        <f t="shared" si="1"/>
        <v>72.188196171404087</v>
      </c>
      <c r="G22" s="808">
        <f t="shared" si="1"/>
        <v>0</v>
      </c>
      <c r="H22" s="808">
        <f t="shared" si="1"/>
        <v>28745.232241052858</v>
      </c>
      <c r="I22" s="808">
        <f t="shared" si="1"/>
        <v>3546.6924051649257</v>
      </c>
      <c r="J22" s="808">
        <f t="shared" si="1"/>
        <v>0</v>
      </c>
      <c r="K22" s="808">
        <f t="shared" si="1"/>
        <v>0</v>
      </c>
      <c r="L22" s="808">
        <f t="shared" si="1"/>
        <v>0</v>
      </c>
      <c r="M22" s="808">
        <f t="shared" si="1"/>
        <v>0</v>
      </c>
      <c r="N22" s="808">
        <f t="shared" si="1"/>
        <v>1458.828305971881</v>
      </c>
      <c r="O22" s="808">
        <f t="shared" si="1"/>
        <v>0</v>
      </c>
      <c r="P22" s="808">
        <f t="shared" si="1"/>
        <v>0</v>
      </c>
      <c r="Q22" s="808">
        <f t="shared" si="1"/>
        <v>0</v>
      </c>
      <c r="R22" s="808">
        <f t="shared" si="1"/>
        <v>33826.69204167735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1263.3571360048984</v>
      </c>
      <c r="D24" s="690">
        <f>+landbouw!C8</f>
        <v>12857.142857142857</v>
      </c>
      <c r="E24" s="690">
        <f>+landbouw!D8</f>
        <v>804.25452827148911</v>
      </c>
      <c r="F24" s="690">
        <f>+landbouw!E8</f>
        <v>15.919927448564229</v>
      </c>
      <c r="G24" s="690">
        <f>+landbouw!F8</f>
        <v>4358.8986090905146</v>
      </c>
      <c r="H24" s="690">
        <f>+landbouw!G8</f>
        <v>0</v>
      </c>
      <c r="I24" s="690">
        <f>+landbouw!H8</f>
        <v>0</v>
      </c>
      <c r="J24" s="690">
        <f>+landbouw!I8</f>
        <v>0</v>
      </c>
      <c r="K24" s="690">
        <f>+landbouw!J8</f>
        <v>189.9945519180734</v>
      </c>
      <c r="L24" s="690">
        <f>+landbouw!K8</f>
        <v>0</v>
      </c>
      <c r="M24" s="690">
        <f>+landbouw!L8</f>
        <v>0</v>
      </c>
      <c r="N24" s="690">
        <f>+landbouw!M8</f>
        <v>0</v>
      </c>
      <c r="O24" s="690">
        <f>+landbouw!N8</f>
        <v>0</v>
      </c>
      <c r="P24" s="690">
        <f>+landbouw!O8</f>
        <v>0</v>
      </c>
      <c r="Q24" s="691">
        <f>+landbouw!P8</f>
        <v>0</v>
      </c>
      <c r="R24" s="693">
        <f>SUM(C24:Q24)</f>
        <v>19489.567609876398</v>
      </c>
      <c r="S24" s="67"/>
    </row>
    <row r="25" spans="1:19" s="458" customFormat="1" ht="15" thickBot="1">
      <c r="A25" s="827" t="s">
        <v>872</v>
      </c>
      <c r="B25" s="1004"/>
      <c r="C25" s="1005">
        <f>IF(Onbekend_ele_kWh="---",0,Onbekend_ele_kWh)/1000+IF(REST_rest_ele_kWh="---",0,REST_rest_ele_kWh)/1000</f>
        <v>497.09490195496397</v>
      </c>
      <c r="D25" s="1005"/>
      <c r="E25" s="1005">
        <f>IF(onbekend_gas_kWh="---",0,onbekend_gas_kWh)/1000+IF(REST_rest_gas_kWh="---",0,REST_rest_gas_kWh)/1000</f>
        <v>869.91807255701303</v>
      </c>
      <c r="F25" s="1005"/>
      <c r="G25" s="1005"/>
      <c r="H25" s="1005"/>
      <c r="I25" s="1005"/>
      <c r="J25" s="1005"/>
      <c r="K25" s="1005"/>
      <c r="L25" s="1005"/>
      <c r="M25" s="1005"/>
      <c r="N25" s="1005"/>
      <c r="O25" s="1005"/>
      <c r="P25" s="1005"/>
      <c r="Q25" s="1006"/>
      <c r="R25" s="693">
        <f>SUM(C25:Q25)</f>
        <v>1367.0129745119771</v>
      </c>
      <c r="S25" s="67"/>
    </row>
    <row r="26" spans="1:19" s="458" customFormat="1" ht="15.75" thickBot="1">
      <c r="A26" s="698" t="s">
        <v>873</v>
      </c>
      <c r="B26" s="813"/>
      <c r="C26" s="808">
        <f>SUM(C24:C25)</f>
        <v>1760.4520379598623</v>
      </c>
      <c r="D26" s="808">
        <f t="shared" ref="D26:R26" si="2">SUM(D24:D25)</f>
        <v>12857.142857142857</v>
      </c>
      <c r="E26" s="808">
        <f t="shared" si="2"/>
        <v>1674.1726008285023</v>
      </c>
      <c r="F26" s="808">
        <f t="shared" si="2"/>
        <v>15.919927448564229</v>
      </c>
      <c r="G26" s="808">
        <f t="shared" si="2"/>
        <v>4358.8986090905146</v>
      </c>
      <c r="H26" s="808">
        <f t="shared" si="2"/>
        <v>0</v>
      </c>
      <c r="I26" s="808">
        <f t="shared" si="2"/>
        <v>0</v>
      </c>
      <c r="J26" s="808">
        <f t="shared" si="2"/>
        <v>0</v>
      </c>
      <c r="K26" s="808">
        <f t="shared" si="2"/>
        <v>189.9945519180734</v>
      </c>
      <c r="L26" s="808">
        <f t="shared" si="2"/>
        <v>0</v>
      </c>
      <c r="M26" s="808">
        <f t="shared" si="2"/>
        <v>0</v>
      </c>
      <c r="N26" s="808">
        <f t="shared" si="2"/>
        <v>0</v>
      </c>
      <c r="O26" s="808">
        <f t="shared" si="2"/>
        <v>0</v>
      </c>
      <c r="P26" s="808">
        <f t="shared" si="2"/>
        <v>0</v>
      </c>
      <c r="Q26" s="808">
        <f t="shared" si="2"/>
        <v>0</v>
      </c>
      <c r="R26" s="808">
        <f t="shared" si="2"/>
        <v>20856.580584388375</v>
      </c>
      <c r="S26" s="67"/>
    </row>
    <row r="27" spans="1:19" s="458" customFormat="1" ht="17.25" thickTop="1" thickBot="1">
      <c r="A27" s="699" t="s">
        <v>116</v>
      </c>
      <c r="B27" s="800"/>
      <c r="C27" s="700">
        <f ca="1">C22+C16+C26</f>
        <v>62243.903116370289</v>
      </c>
      <c r="D27" s="700">
        <f t="shared" ref="D27:R27" ca="1" si="3">D22+D16+D26</f>
        <v>12857.142857142857</v>
      </c>
      <c r="E27" s="700">
        <f t="shared" ca="1" si="3"/>
        <v>162466.17546312665</v>
      </c>
      <c r="F27" s="700">
        <f t="shared" si="3"/>
        <v>4823.1388898204405</v>
      </c>
      <c r="G27" s="700">
        <f t="shared" ca="1" si="3"/>
        <v>42602.022072196451</v>
      </c>
      <c r="H27" s="700">
        <f t="shared" si="3"/>
        <v>28745.232241052858</v>
      </c>
      <c r="I27" s="700">
        <f t="shared" si="3"/>
        <v>3546.6924051649257</v>
      </c>
      <c r="J27" s="700">
        <f t="shared" si="3"/>
        <v>0</v>
      </c>
      <c r="K27" s="700">
        <f t="shared" si="3"/>
        <v>706.07890932838188</v>
      </c>
      <c r="L27" s="700">
        <f t="shared" si="3"/>
        <v>0</v>
      </c>
      <c r="M27" s="700">
        <f t="shared" ca="1" si="3"/>
        <v>0</v>
      </c>
      <c r="N27" s="700">
        <f t="shared" si="3"/>
        <v>1458.828305971881</v>
      </c>
      <c r="O27" s="700">
        <f t="shared" ca="1" si="3"/>
        <v>19648.10134835152</v>
      </c>
      <c r="P27" s="700">
        <f t="shared" si="3"/>
        <v>121.94000000000001</v>
      </c>
      <c r="Q27" s="700">
        <f t="shared" si="3"/>
        <v>209.73333333333335</v>
      </c>
      <c r="R27" s="700">
        <f t="shared" ca="1" si="3"/>
        <v>339428.98894185969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1800.0223602237672</v>
      </c>
      <c r="D40" s="690">
        <f ca="1">tertiair!C20</f>
        <v>0</v>
      </c>
      <c r="E40" s="690">
        <f ca="1">tertiair!D20</f>
        <v>1658.7529744271615</v>
      </c>
      <c r="F40" s="690">
        <f>tertiair!E20</f>
        <v>20.732638374471406</v>
      </c>
      <c r="G40" s="690">
        <f ca="1">tertiair!F20</f>
        <v>394.43341640977815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3873.9413894351783</v>
      </c>
    </row>
    <row r="41" spans="1:18">
      <c r="A41" s="818" t="s">
        <v>225</v>
      </c>
      <c r="B41" s="825"/>
      <c r="C41" s="690">
        <f ca="1">huishoudens!B12</f>
        <v>3011.6226846941272</v>
      </c>
      <c r="D41" s="690">
        <f ca="1">huishoudens!C12</f>
        <v>0</v>
      </c>
      <c r="E41" s="690">
        <f>huishoudens!D12</f>
        <v>4824.9896735374668</v>
      </c>
      <c r="F41" s="690">
        <f>huishoudens!E12</f>
        <v>496.91174144865056</v>
      </c>
      <c r="G41" s="690">
        <f>huishoudens!F12</f>
        <v>4578.2577740549114</v>
      </c>
      <c r="H41" s="690">
        <f>huishoudens!G12</f>
        <v>0</v>
      </c>
      <c r="I41" s="690">
        <f>huishoudens!H12</f>
        <v>0</v>
      </c>
      <c r="J41" s="690">
        <f>huishoudens!I12</f>
        <v>0</v>
      </c>
      <c r="K41" s="690">
        <f>huishoudens!J12</f>
        <v>156.97971145472241</v>
      </c>
      <c r="L41" s="690">
        <f>huishoudens!K12</f>
        <v>0</v>
      </c>
      <c r="M41" s="690">
        <f>huishoudens!L12</f>
        <v>0</v>
      </c>
      <c r="N41" s="690">
        <f>huishoudens!M12</f>
        <v>0</v>
      </c>
      <c r="O41" s="690">
        <f>huishoudens!N12</f>
        <v>0</v>
      </c>
      <c r="P41" s="690">
        <f>huishoudens!O12</f>
        <v>0</v>
      </c>
      <c r="Q41" s="767">
        <f>huishoudens!P12</f>
        <v>0</v>
      </c>
      <c r="R41" s="846">
        <f t="shared" ca="1" si="4"/>
        <v>13068.761585189877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8071.2113179867038</v>
      </c>
      <c r="D43" s="690">
        <f ca="1">industrie!C22</f>
        <v>0</v>
      </c>
      <c r="E43" s="690">
        <f>industrie!D22</f>
        <v>25995.762098330408</v>
      </c>
      <c r="F43" s="690">
        <f>industrie!E22</f>
        <v>557.20760410438515</v>
      </c>
      <c r="G43" s="690">
        <f>industrie!F22</f>
        <v>5238.2227741845954</v>
      </c>
      <c r="H43" s="690">
        <f>industrie!G22</f>
        <v>0</v>
      </c>
      <c r="I43" s="690">
        <f>industrie!H22</f>
        <v>0</v>
      </c>
      <c r="J43" s="690">
        <f>industrie!I22</f>
        <v>0</v>
      </c>
      <c r="K43" s="690">
        <f>industrie!J22</f>
        <v>25.714151068526771</v>
      </c>
      <c r="L43" s="690">
        <f>industrie!K22</f>
        <v>0</v>
      </c>
      <c r="M43" s="690">
        <f>industrie!L22</f>
        <v>0</v>
      </c>
      <c r="N43" s="690">
        <f>industrie!M22</f>
        <v>0</v>
      </c>
      <c r="O43" s="690">
        <f>industrie!N22</f>
        <v>0</v>
      </c>
      <c r="P43" s="690">
        <f>industrie!O22</f>
        <v>0</v>
      </c>
      <c r="Q43" s="767">
        <f>industrie!P22</f>
        <v>0</v>
      </c>
      <c r="R43" s="845">
        <f t="shared" ca="1" si="4"/>
        <v>39888.11794567461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12882.856362904598</v>
      </c>
      <c r="D46" s="725">
        <f t="shared" ref="D46:Q46" ca="1" si="5">SUM(D39:D45)</f>
        <v>0</v>
      </c>
      <c r="E46" s="725">
        <f t="shared" ca="1" si="5"/>
        <v>32479.504746295035</v>
      </c>
      <c r="F46" s="725">
        <f t="shared" si="5"/>
        <v>1074.8519839275073</v>
      </c>
      <c r="G46" s="725">
        <f t="shared" ca="1" si="5"/>
        <v>10210.913964649284</v>
      </c>
      <c r="H46" s="725">
        <f t="shared" si="5"/>
        <v>0</v>
      </c>
      <c r="I46" s="725">
        <f t="shared" si="5"/>
        <v>0</v>
      </c>
      <c r="J46" s="725">
        <f t="shared" si="5"/>
        <v>0</v>
      </c>
      <c r="K46" s="725">
        <f t="shared" si="5"/>
        <v>182.69386252324918</v>
      </c>
      <c r="L46" s="725">
        <f t="shared" si="5"/>
        <v>0</v>
      </c>
      <c r="M46" s="725">
        <f t="shared" ca="1" si="5"/>
        <v>0</v>
      </c>
      <c r="N46" s="725">
        <f t="shared" si="5"/>
        <v>0</v>
      </c>
      <c r="O46" s="725">
        <f t="shared" ca="1" si="5"/>
        <v>0</v>
      </c>
      <c r="P46" s="725">
        <f t="shared" si="5"/>
        <v>0</v>
      </c>
      <c r="Q46" s="725">
        <f t="shared" si="5"/>
        <v>0</v>
      </c>
      <c r="R46" s="725">
        <f ca="1">SUM(R39:R45)</f>
        <v>56830.820920299666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43.874742999776565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43.874742999776565</v>
      </c>
    </row>
    <row r="50" spans="1:18">
      <c r="A50" s="821" t="s">
        <v>307</v>
      </c>
      <c r="B50" s="831"/>
      <c r="C50" s="696">
        <f ca="1">transport!B18</f>
        <v>0.29298289094301566</v>
      </c>
      <c r="D50" s="696">
        <f>transport!C18</f>
        <v>0</v>
      </c>
      <c r="E50" s="696">
        <f>transport!D18</f>
        <v>0.47983188919450681</v>
      </c>
      <c r="F50" s="696">
        <f>transport!E18</f>
        <v>16.386720530908729</v>
      </c>
      <c r="G50" s="696">
        <f>transport!F18</f>
        <v>0</v>
      </c>
      <c r="H50" s="696">
        <f>transport!G18</f>
        <v>7631.1022653613372</v>
      </c>
      <c r="I50" s="696">
        <f>transport!H18</f>
        <v>883.12640888606654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8531.3882095584504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0.29298289094301566</v>
      </c>
      <c r="D52" s="725">
        <f t="shared" ref="D52:Q52" ca="1" si="6">SUM(D48:D51)</f>
        <v>0</v>
      </c>
      <c r="E52" s="725">
        <f t="shared" si="6"/>
        <v>0.47983188919450681</v>
      </c>
      <c r="F52" s="725">
        <f t="shared" si="6"/>
        <v>16.386720530908729</v>
      </c>
      <c r="G52" s="725">
        <f t="shared" si="6"/>
        <v>0</v>
      </c>
      <c r="H52" s="725">
        <f t="shared" si="6"/>
        <v>7674.9770083611138</v>
      </c>
      <c r="I52" s="725">
        <f t="shared" si="6"/>
        <v>883.12640888606654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8575.262952558227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269.09870997816398</v>
      </c>
      <c r="D54" s="696">
        <f ca="1">+landbouw!C12</f>
        <v>3055.4621848739503</v>
      </c>
      <c r="E54" s="696">
        <f>+landbouw!D12</f>
        <v>162.4594147108408</v>
      </c>
      <c r="F54" s="696">
        <f>+landbouw!E12</f>
        <v>3.6138235308240803</v>
      </c>
      <c r="G54" s="696">
        <f>+landbouw!F12</f>
        <v>1163.8259286271675</v>
      </c>
      <c r="H54" s="696">
        <f>+landbouw!G12</f>
        <v>0</v>
      </c>
      <c r="I54" s="696">
        <f>+landbouw!H12</f>
        <v>0</v>
      </c>
      <c r="J54" s="696">
        <f>+landbouw!I12</f>
        <v>0</v>
      </c>
      <c r="K54" s="696">
        <f>+landbouw!J12</f>
        <v>67.258071378997982</v>
      </c>
      <c r="L54" s="696">
        <f>+landbouw!K12</f>
        <v>0</v>
      </c>
      <c r="M54" s="696">
        <f>+landbouw!L12</f>
        <v>0</v>
      </c>
      <c r="N54" s="696">
        <f>+landbouw!M12</f>
        <v>0</v>
      </c>
      <c r="O54" s="696">
        <f>+landbouw!N12</f>
        <v>0</v>
      </c>
      <c r="P54" s="696">
        <f>+landbouw!O12</f>
        <v>0</v>
      </c>
      <c r="Q54" s="697">
        <f>+landbouw!P12</f>
        <v>0</v>
      </c>
      <c r="R54" s="724">
        <f ca="1">SUM(C54:Q54)</f>
        <v>4721.7181330999447</v>
      </c>
    </row>
    <row r="55" spans="1:18" ht="15" thickBot="1">
      <c r="A55" s="821" t="s">
        <v>872</v>
      </c>
      <c r="B55" s="831"/>
      <c r="C55" s="696">
        <f ca="1">C25*'EF ele_warmte'!B12</f>
        <v>105.88264635589476</v>
      </c>
      <c r="D55" s="696"/>
      <c r="E55" s="696">
        <f>E25*EF_CO2_aardgas</f>
        <v>175.72345065651663</v>
      </c>
      <c r="F55" s="696"/>
      <c r="G55" s="696"/>
      <c r="H55" s="696"/>
      <c r="I55" s="696"/>
      <c r="J55" s="696"/>
      <c r="K55" s="696"/>
      <c r="L55" s="696"/>
      <c r="M55" s="696"/>
      <c r="N55" s="696"/>
      <c r="O55" s="696"/>
      <c r="P55" s="696"/>
      <c r="Q55" s="697"/>
      <c r="R55" s="724">
        <f ca="1">SUM(C55:Q55)</f>
        <v>281.6060970124114</v>
      </c>
    </row>
    <row r="56" spans="1:18" ht="15.75" thickBot="1">
      <c r="A56" s="819" t="s">
        <v>873</v>
      </c>
      <c r="B56" s="832"/>
      <c r="C56" s="725">
        <f ca="1">SUM(C54:C55)</f>
        <v>374.98135633405877</v>
      </c>
      <c r="D56" s="725">
        <f t="shared" ref="D56:Q56" ca="1" si="7">SUM(D54:D55)</f>
        <v>3055.4621848739503</v>
      </c>
      <c r="E56" s="725">
        <f t="shared" si="7"/>
        <v>338.18286536735741</v>
      </c>
      <c r="F56" s="725">
        <f t="shared" si="7"/>
        <v>3.6138235308240803</v>
      </c>
      <c r="G56" s="725">
        <f t="shared" si="7"/>
        <v>1163.8259286271675</v>
      </c>
      <c r="H56" s="725">
        <f t="shared" si="7"/>
        <v>0</v>
      </c>
      <c r="I56" s="725">
        <f t="shared" si="7"/>
        <v>0</v>
      </c>
      <c r="J56" s="725">
        <f t="shared" si="7"/>
        <v>0</v>
      </c>
      <c r="K56" s="725">
        <f t="shared" si="7"/>
        <v>67.258071378997982</v>
      </c>
      <c r="L56" s="725">
        <f t="shared" si="7"/>
        <v>0</v>
      </c>
      <c r="M56" s="725">
        <f t="shared" si="7"/>
        <v>0</v>
      </c>
      <c r="N56" s="725">
        <f t="shared" si="7"/>
        <v>0</v>
      </c>
      <c r="O56" s="725">
        <f t="shared" si="7"/>
        <v>0</v>
      </c>
      <c r="P56" s="725">
        <f t="shared" si="7"/>
        <v>0</v>
      </c>
      <c r="Q56" s="726">
        <f t="shared" si="7"/>
        <v>0</v>
      </c>
      <c r="R56" s="727">
        <f ca="1">SUM(R54:R55)</f>
        <v>5003.3242301123564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13258.130702129602</v>
      </c>
      <c r="D61" s="733">
        <f t="shared" ref="D61:Q61" ca="1" si="8">D46+D52+D56</f>
        <v>3055.4621848739503</v>
      </c>
      <c r="E61" s="733">
        <f t="shared" ca="1" si="8"/>
        <v>32818.167443551589</v>
      </c>
      <c r="F61" s="733">
        <f t="shared" si="8"/>
        <v>1094.8525279892399</v>
      </c>
      <c r="G61" s="733">
        <f t="shared" ca="1" si="8"/>
        <v>11374.739893276452</v>
      </c>
      <c r="H61" s="733">
        <f t="shared" si="8"/>
        <v>7674.9770083611138</v>
      </c>
      <c r="I61" s="733">
        <f t="shared" si="8"/>
        <v>883.12640888606654</v>
      </c>
      <c r="J61" s="733">
        <f t="shared" si="8"/>
        <v>0</v>
      </c>
      <c r="K61" s="733">
        <f t="shared" si="8"/>
        <v>249.95193390224716</v>
      </c>
      <c r="L61" s="733">
        <f t="shared" si="8"/>
        <v>0</v>
      </c>
      <c r="M61" s="733">
        <f t="shared" ca="1" si="8"/>
        <v>0</v>
      </c>
      <c r="N61" s="733">
        <f t="shared" si="8"/>
        <v>0</v>
      </c>
      <c r="O61" s="733">
        <f t="shared" ca="1" si="8"/>
        <v>0</v>
      </c>
      <c r="P61" s="733">
        <f t="shared" si="8"/>
        <v>0</v>
      </c>
      <c r="Q61" s="733">
        <f t="shared" si="8"/>
        <v>0</v>
      </c>
      <c r="R61" s="733">
        <f ca="1">R46+R52+R56</f>
        <v>70409.40810297025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0.21300288121942473</v>
      </c>
      <c r="D63" s="776">
        <f t="shared" ca="1" si="9"/>
        <v>0.23764705882352946</v>
      </c>
      <c r="E63" s="1011">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2930.2959999999998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9000</v>
      </c>
      <c r="D76" s="1021">
        <f>'lokale energieproductie'!C8</f>
        <v>10588.235294117649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2138.8235294117653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2930.2959999999998</v>
      </c>
      <c r="C78" s="748">
        <f>SUM(C72:C77)</f>
        <v>9000</v>
      </c>
      <c r="D78" s="749">
        <f t="shared" ref="D78:H78" si="10">SUM(D76:D77)</f>
        <v>10588.235294117649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2138.8235294117653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12857.142857142857</v>
      </c>
      <c r="D87" s="770">
        <f>'lokale energieproductie'!C17</f>
        <v>15126.050420168069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3055.4621848739503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12857.142857142857</v>
      </c>
      <c r="D90" s="748">
        <f t="shared" ref="D90:H90" si="12">SUM(D87:D89)</f>
        <v>15126.050420168069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2930.2959999999998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9000</v>
      </c>
      <c r="C8" s="560">
        <f>B101</f>
        <v>10588.235294117649</v>
      </c>
      <c r="D8" s="1028"/>
      <c r="E8" s="1028">
        <f>E101</f>
        <v>0</v>
      </c>
      <c r="F8" s="1029"/>
      <c r="G8" s="561"/>
      <c r="H8" s="1028">
        <f>I101</f>
        <v>0</v>
      </c>
      <c r="I8" s="1028">
        <f>G101+F101</f>
        <v>0</v>
      </c>
      <c r="J8" s="1028">
        <f>H101+D101+C101</f>
        <v>0</v>
      </c>
      <c r="K8" s="1028"/>
      <c r="L8" s="1028"/>
      <c r="M8" s="1028"/>
      <c r="N8" s="562"/>
      <c r="O8" s="563">
        <f>C8*$C$12+D8*$D$12+E8*$E$12+F8*$F$12+G8*$G$12+H8*$H$12+I8*$I$12+J8*$J$12</f>
        <v>2138.8235294117653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11930.296</v>
      </c>
      <c r="C10" s="573">
        <f t="shared" ref="C10:L10" si="0">SUM(C8:C9)</f>
        <v>10588.235294117649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2138.8235294117653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12857.142857142857</v>
      </c>
      <c r="C17" s="585">
        <f>B102</f>
        <v>15126.050420168069</v>
      </c>
      <c r="D17" s="586"/>
      <c r="E17" s="586">
        <f>E102</f>
        <v>0</v>
      </c>
      <c r="F17" s="1034"/>
      <c r="G17" s="587"/>
      <c r="H17" s="585">
        <f>I102</f>
        <v>0</v>
      </c>
      <c r="I17" s="586">
        <f>G102+F102</f>
        <v>0</v>
      </c>
      <c r="J17" s="586">
        <f>H102+D102+C102</f>
        <v>0</v>
      </c>
      <c r="K17" s="586"/>
      <c r="L17" s="586"/>
      <c r="M17" s="586"/>
      <c r="N17" s="1035"/>
      <c r="O17" s="588">
        <f>C17*$C$22+E17*$E$22+H17*$H$22+I17*$I$22+J17*$J$22+D17*$D$22+F17*$F$22+G17*$G$22+K17*$K$22+L17*$L$22</f>
        <v>3055.4621848739503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12857.142857142857</v>
      </c>
      <c r="C20" s="572">
        <f>SUM(C17:C19)</f>
        <v>15126.050420168069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3055.4621848739503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37010</v>
      </c>
      <c r="C28" s="791">
        <v>8780</v>
      </c>
      <c r="D28" s="644" t="s">
        <v>913</v>
      </c>
      <c r="E28" s="643" t="s">
        <v>914</v>
      </c>
      <c r="F28" s="643" t="s">
        <v>915</v>
      </c>
      <c r="G28" s="643" t="s">
        <v>916</v>
      </c>
      <c r="H28" s="643" t="s">
        <v>917</v>
      </c>
      <c r="I28" s="643" t="s">
        <v>914</v>
      </c>
      <c r="J28" s="790">
        <v>39853</v>
      </c>
      <c r="K28" s="790">
        <v>39875</v>
      </c>
      <c r="L28" s="643" t="s">
        <v>918</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2000</v>
      </c>
      <c r="N58" s="601">
        <f>SUM(N28:N57)</f>
        <v>9000</v>
      </c>
      <c r="O58" s="601">
        <f t="shared" ref="O58:W58" si="2">SUM(O28:O57)</f>
        <v>12857.142857142857</v>
      </c>
      <c r="P58" s="601">
        <f t="shared" si="2"/>
        <v>25714.285714285717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2000</v>
      </c>
      <c r="N61" s="606">
        <f t="shared" si="4"/>
        <v>9000</v>
      </c>
      <c r="O61" s="606">
        <f t="shared" si="4"/>
        <v>12857.142857142857</v>
      </c>
      <c r="P61" s="606">
        <f t="shared" si="4"/>
        <v>25714.285714285717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10588.235294117649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15126.050420168069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14138.882382495602</v>
      </c>
      <c r="C4" s="462">
        <f>huishoudens!C8</f>
        <v>0</v>
      </c>
      <c r="D4" s="462">
        <f>huishoudens!D8</f>
        <v>23886.087492759736</v>
      </c>
      <c r="E4" s="462">
        <f>huishoudens!E8</f>
        <v>2189.0385085843636</v>
      </c>
      <c r="F4" s="462">
        <f>huishoudens!F8</f>
        <v>17147.032861628879</v>
      </c>
      <c r="G4" s="462">
        <f>huishoudens!G8</f>
        <v>0</v>
      </c>
      <c r="H4" s="462">
        <f>huishoudens!H8</f>
        <v>0</v>
      </c>
      <c r="I4" s="462">
        <f>huishoudens!I8</f>
        <v>0</v>
      </c>
      <c r="J4" s="462">
        <f>huishoudens!J8</f>
        <v>443.44551258396166</v>
      </c>
      <c r="K4" s="462">
        <f>huishoudens!K8</f>
        <v>0</v>
      </c>
      <c r="L4" s="462">
        <f>huishoudens!L8</f>
        <v>0</v>
      </c>
      <c r="M4" s="462">
        <f>huishoudens!M8</f>
        <v>0</v>
      </c>
      <c r="N4" s="462">
        <f>huishoudens!N8</f>
        <v>10832.641228910645</v>
      </c>
      <c r="O4" s="462">
        <f>huishoudens!O8</f>
        <v>121.94000000000001</v>
      </c>
      <c r="P4" s="463">
        <f>huishoudens!P8</f>
        <v>209.73333333333335</v>
      </c>
      <c r="Q4" s="464">
        <f>SUM(B4:P4)</f>
        <v>68968.801320296538</v>
      </c>
    </row>
    <row r="5" spans="1:17">
      <c r="A5" s="461" t="s">
        <v>156</v>
      </c>
      <c r="B5" s="462">
        <f ca="1">tertiair!B16</f>
        <v>7750.792891631424</v>
      </c>
      <c r="C5" s="462">
        <f ca="1">tertiair!C16</f>
        <v>0</v>
      </c>
      <c r="D5" s="462">
        <f ca="1">tertiair!D16</f>
        <v>8211.6483882532739</v>
      </c>
      <c r="E5" s="462">
        <f>tertiair!E16</f>
        <v>91.333208698111918</v>
      </c>
      <c r="F5" s="462">
        <f ca="1">tertiair!F16</f>
        <v>1477.2787131452365</v>
      </c>
      <c r="G5" s="462">
        <f>tertiair!G16</f>
        <v>0</v>
      </c>
      <c r="H5" s="462">
        <f>tertiair!H16</f>
        <v>0</v>
      </c>
      <c r="I5" s="462">
        <f>tertiair!I16</f>
        <v>0</v>
      </c>
      <c r="J5" s="462">
        <f>tertiair!J16</f>
        <v>0</v>
      </c>
      <c r="K5" s="462">
        <f>tertiair!K16</f>
        <v>0</v>
      </c>
      <c r="L5" s="462">
        <f ca="1">tertiair!L16</f>
        <v>0</v>
      </c>
      <c r="M5" s="462">
        <f>tertiair!M16</f>
        <v>0</v>
      </c>
      <c r="N5" s="462">
        <f ca="1">tertiair!N16</f>
        <v>581.67993582804718</v>
      </c>
      <c r="O5" s="462">
        <f>tertiair!O16</f>
        <v>0</v>
      </c>
      <c r="P5" s="463">
        <f>tertiair!P16</f>
        <v>0</v>
      </c>
      <c r="Q5" s="461">
        <f t="shared" ref="Q5:Q14" ca="1" si="0">SUM(B5:P5)</f>
        <v>18112.733137556093</v>
      </c>
    </row>
    <row r="6" spans="1:17">
      <c r="A6" s="461" t="s">
        <v>194</v>
      </c>
      <c r="B6" s="462">
        <f>'openbare verlichting'!B8</f>
        <v>699.90200000000004</v>
      </c>
      <c r="C6" s="462"/>
      <c r="D6" s="462"/>
      <c r="E6" s="462"/>
      <c r="F6" s="462"/>
      <c r="G6" s="462"/>
      <c r="H6" s="462"/>
      <c r="I6" s="462"/>
      <c r="J6" s="462"/>
      <c r="K6" s="462"/>
      <c r="L6" s="462"/>
      <c r="M6" s="462"/>
      <c r="N6" s="462"/>
      <c r="O6" s="462"/>
      <c r="P6" s="463"/>
      <c r="Q6" s="461">
        <f t="shared" si="0"/>
        <v>699.90200000000004</v>
      </c>
    </row>
    <row r="7" spans="1:17">
      <c r="A7" s="461" t="s">
        <v>112</v>
      </c>
      <c r="B7" s="462">
        <f>landbouw!B8</f>
        <v>1263.3571360048984</v>
      </c>
      <c r="C7" s="462">
        <f>landbouw!C8</f>
        <v>12857.142857142857</v>
      </c>
      <c r="D7" s="462">
        <f>landbouw!D8</f>
        <v>804.25452827148911</v>
      </c>
      <c r="E7" s="462">
        <f>landbouw!E8</f>
        <v>15.919927448564229</v>
      </c>
      <c r="F7" s="462">
        <f>landbouw!F8</f>
        <v>4358.8986090905146</v>
      </c>
      <c r="G7" s="462">
        <f>landbouw!G8</f>
        <v>0</v>
      </c>
      <c r="H7" s="462">
        <f>landbouw!H8</f>
        <v>0</v>
      </c>
      <c r="I7" s="462">
        <f>landbouw!I8</f>
        <v>0</v>
      </c>
      <c r="J7" s="462">
        <f>landbouw!J8</f>
        <v>189.9945519180734</v>
      </c>
      <c r="K7" s="462">
        <f>landbouw!K8</f>
        <v>0</v>
      </c>
      <c r="L7" s="462">
        <f>landbouw!L8</f>
        <v>0</v>
      </c>
      <c r="M7" s="462">
        <f>landbouw!M8</f>
        <v>0</v>
      </c>
      <c r="N7" s="462">
        <f>landbouw!N8</f>
        <v>0</v>
      </c>
      <c r="O7" s="462">
        <f>landbouw!O8</f>
        <v>0</v>
      </c>
      <c r="P7" s="463">
        <f>landbouw!P8</f>
        <v>0</v>
      </c>
      <c r="Q7" s="461">
        <f t="shared" si="0"/>
        <v>19489.567609876398</v>
      </c>
    </row>
    <row r="8" spans="1:17">
      <c r="A8" s="461" t="s">
        <v>657</v>
      </c>
      <c r="B8" s="462">
        <f>industrie!B18</f>
        <v>37892.498316359175</v>
      </c>
      <c r="C8" s="462">
        <f>industrie!C18</f>
        <v>0</v>
      </c>
      <c r="D8" s="462">
        <f>industrie!D18</f>
        <v>128691.8915758931</v>
      </c>
      <c r="E8" s="462">
        <f>industrie!E18</f>
        <v>2454.6590489179962</v>
      </c>
      <c r="F8" s="462">
        <f>industrie!F18</f>
        <v>19618.811888331817</v>
      </c>
      <c r="G8" s="462">
        <f>industrie!G18</f>
        <v>0</v>
      </c>
      <c r="H8" s="462">
        <f>industrie!H18</f>
        <v>0</v>
      </c>
      <c r="I8" s="462">
        <f>industrie!I18</f>
        <v>0</v>
      </c>
      <c r="J8" s="462">
        <f>industrie!J18</f>
        <v>72.638844826346812</v>
      </c>
      <c r="K8" s="462">
        <f>industrie!K18</f>
        <v>0</v>
      </c>
      <c r="L8" s="462">
        <f>industrie!L18</f>
        <v>0</v>
      </c>
      <c r="M8" s="462">
        <f>industrie!M18</f>
        <v>0</v>
      </c>
      <c r="N8" s="462">
        <f>industrie!N18</f>
        <v>8233.7801836128292</v>
      </c>
      <c r="O8" s="462">
        <f>industrie!O18</f>
        <v>0</v>
      </c>
      <c r="P8" s="463">
        <f>industrie!P18</f>
        <v>0</v>
      </c>
      <c r="Q8" s="461">
        <f t="shared" si="0"/>
        <v>196964.27985794126</v>
      </c>
    </row>
    <row r="9" spans="1:17" s="467" customFormat="1">
      <c r="A9" s="465" t="s">
        <v>574</v>
      </c>
      <c r="B9" s="466">
        <f>transport!B14</f>
        <v>1.3754879242276523</v>
      </c>
      <c r="C9" s="466">
        <f>transport!C14</f>
        <v>0</v>
      </c>
      <c r="D9" s="466">
        <f>transport!D14</f>
        <v>2.3754053920520137</v>
      </c>
      <c r="E9" s="466">
        <f>transport!E14</f>
        <v>72.188196171404087</v>
      </c>
      <c r="F9" s="466">
        <f>transport!F14</f>
        <v>0</v>
      </c>
      <c r="G9" s="466">
        <f>transport!G14</f>
        <v>28580.907360903882</v>
      </c>
      <c r="H9" s="466">
        <f>transport!H14</f>
        <v>3546.6924051649257</v>
      </c>
      <c r="I9" s="466">
        <f>transport!I14</f>
        <v>0</v>
      </c>
      <c r="J9" s="466">
        <f>transport!J14</f>
        <v>0</v>
      </c>
      <c r="K9" s="466">
        <f>transport!K14</f>
        <v>0</v>
      </c>
      <c r="L9" s="466">
        <f>transport!L14</f>
        <v>0</v>
      </c>
      <c r="M9" s="466">
        <f>transport!M14</f>
        <v>1451.5203766267402</v>
      </c>
      <c r="N9" s="466">
        <f>transport!N14</f>
        <v>0</v>
      </c>
      <c r="O9" s="466">
        <f>transport!O14</f>
        <v>0</v>
      </c>
      <c r="P9" s="466">
        <f>transport!P14</f>
        <v>0</v>
      </c>
      <c r="Q9" s="465">
        <f>SUM(B9:P9)</f>
        <v>33655.05923218323</v>
      </c>
    </row>
    <row r="10" spans="1:17">
      <c r="A10" s="461" t="s">
        <v>564</v>
      </c>
      <c r="B10" s="462">
        <f>transport!B54</f>
        <v>0</v>
      </c>
      <c r="C10" s="462">
        <f>transport!C54</f>
        <v>0</v>
      </c>
      <c r="D10" s="462">
        <f>transport!D54</f>
        <v>0</v>
      </c>
      <c r="E10" s="462">
        <f>transport!E54</f>
        <v>0</v>
      </c>
      <c r="F10" s="462">
        <f>transport!F54</f>
        <v>0</v>
      </c>
      <c r="G10" s="462">
        <f>transport!G54</f>
        <v>164.32488014897589</v>
      </c>
      <c r="H10" s="462">
        <f>transport!H54</f>
        <v>0</v>
      </c>
      <c r="I10" s="462">
        <f>transport!I54</f>
        <v>0</v>
      </c>
      <c r="J10" s="462">
        <f>transport!J54</f>
        <v>0</v>
      </c>
      <c r="K10" s="462">
        <f>transport!K54</f>
        <v>0</v>
      </c>
      <c r="L10" s="462">
        <f>transport!L54</f>
        <v>0</v>
      </c>
      <c r="M10" s="462">
        <f>transport!M54</f>
        <v>7.307929345140689</v>
      </c>
      <c r="N10" s="462">
        <f>transport!N54</f>
        <v>0</v>
      </c>
      <c r="O10" s="462">
        <f>transport!O54</f>
        <v>0</v>
      </c>
      <c r="P10" s="463">
        <f>transport!P54</f>
        <v>0</v>
      </c>
      <c r="Q10" s="461">
        <f t="shared" si="0"/>
        <v>171.63280949411657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497.09490195496397</v>
      </c>
      <c r="C14" s="469"/>
      <c r="D14" s="469">
        <f>'SEAP template'!E25</f>
        <v>869.91807255701303</v>
      </c>
      <c r="E14" s="469"/>
      <c r="F14" s="469"/>
      <c r="G14" s="469"/>
      <c r="H14" s="469"/>
      <c r="I14" s="469"/>
      <c r="J14" s="469"/>
      <c r="K14" s="469"/>
      <c r="L14" s="469"/>
      <c r="M14" s="469"/>
      <c r="N14" s="469"/>
      <c r="O14" s="469"/>
      <c r="P14" s="470"/>
      <c r="Q14" s="461">
        <f t="shared" si="0"/>
        <v>1367.0129745119771</v>
      </c>
    </row>
    <row r="15" spans="1:17" s="474" customFormat="1">
      <c r="A15" s="471" t="s">
        <v>568</v>
      </c>
      <c r="B15" s="472">
        <f ca="1">SUM(B4:B14)</f>
        <v>62243.903116370289</v>
      </c>
      <c r="C15" s="472">
        <f t="shared" ref="C15:Q15" ca="1" si="1">SUM(C4:C14)</f>
        <v>12857.142857142857</v>
      </c>
      <c r="D15" s="472">
        <f t="shared" ca="1" si="1"/>
        <v>162466.17546312665</v>
      </c>
      <c r="E15" s="472">
        <f t="shared" si="1"/>
        <v>4823.1388898204405</v>
      </c>
      <c r="F15" s="472">
        <f t="shared" ca="1" si="1"/>
        <v>42602.022072196443</v>
      </c>
      <c r="G15" s="472">
        <f t="shared" si="1"/>
        <v>28745.232241052858</v>
      </c>
      <c r="H15" s="472">
        <f t="shared" si="1"/>
        <v>3546.6924051649257</v>
      </c>
      <c r="I15" s="472">
        <f t="shared" si="1"/>
        <v>0</v>
      </c>
      <c r="J15" s="472">
        <f t="shared" si="1"/>
        <v>706.07890932838188</v>
      </c>
      <c r="K15" s="472">
        <f t="shared" si="1"/>
        <v>0</v>
      </c>
      <c r="L15" s="472">
        <f t="shared" ca="1" si="1"/>
        <v>0</v>
      </c>
      <c r="M15" s="472">
        <f t="shared" si="1"/>
        <v>1458.828305971881</v>
      </c>
      <c r="N15" s="472">
        <f t="shared" ca="1" si="1"/>
        <v>19648.10134835152</v>
      </c>
      <c r="O15" s="472">
        <f t="shared" si="1"/>
        <v>121.94000000000001</v>
      </c>
      <c r="P15" s="472">
        <f t="shared" si="1"/>
        <v>209.73333333333335</v>
      </c>
      <c r="Q15" s="472">
        <f t="shared" ca="1" si="1"/>
        <v>339428.98894185957</v>
      </c>
    </row>
    <row r="17" spans="1:17">
      <c r="A17" s="475" t="s">
        <v>569</v>
      </c>
      <c r="B17" s="781">
        <f ca="1">huishoudens!B10</f>
        <v>0.21300288121942471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3011.6226846941272</v>
      </c>
      <c r="C22" s="462">
        <f t="shared" ref="C22:C32" ca="1" si="3">C4*$C$17</f>
        <v>0</v>
      </c>
      <c r="D22" s="462">
        <f t="shared" ref="D22:D32" si="4">D4*$D$17</f>
        <v>4824.9896735374668</v>
      </c>
      <c r="E22" s="462">
        <f t="shared" ref="E22:E32" si="5">E4*$E$17</f>
        <v>496.91174144865056</v>
      </c>
      <c r="F22" s="462">
        <f t="shared" ref="F22:F32" si="6">F4*$F$17</f>
        <v>4578.2577740549114</v>
      </c>
      <c r="G22" s="462">
        <f t="shared" ref="G22:G32" si="7">G4*$G$17</f>
        <v>0</v>
      </c>
      <c r="H22" s="462">
        <f t="shared" ref="H22:H32" si="8">H4*$H$17</f>
        <v>0</v>
      </c>
      <c r="I22" s="462">
        <f t="shared" ref="I22:I32" si="9">I4*$I$17</f>
        <v>0</v>
      </c>
      <c r="J22" s="462">
        <f t="shared" ref="J22:J32" si="10">J4*$J$17</f>
        <v>156.97971145472241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13068.761585189877</v>
      </c>
    </row>
    <row r="23" spans="1:17">
      <c r="A23" s="461" t="s">
        <v>156</v>
      </c>
      <c r="B23" s="462">
        <f t="shared" ca="1" si="2"/>
        <v>1650.9412176525295</v>
      </c>
      <c r="C23" s="462">
        <f t="shared" ca="1" si="3"/>
        <v>0</v>
      </c>
      <c r="D23" s="462">
        <f t="shared" ca="1" si="4"/>
        <v>1658.7529744271615</v>
      </c>
      <c r="E23" s="462">
        <f t="shared" si="5"/>
        <v>20.732638374471406</v>
      </c>
      <c r="F23" s="462">
        <f t="shared" ca="1" si="6"/>
        <v>394.43341640977815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3724.8602468639401</v>
      </c>
    </row>
    <row r="24" spans="1:17">
      <c r="A24" s="461" t="s">
        <v>194</v>
      </c>
      <c r="B24" s="462">
        <f t="shared" ca="1" si="2"/>
        <v>149.08114257123779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149.08114257123779</v>
      </c>
    </row>
    <row r="25" spans="1:17">
      <c r="A25" s="461" t="s">
        <v>112</v>
      </c>
      <c r="B25" s="462">
        <f t="shared" ca="1" si="2"/>
        <v>269.09870997816398</v>
      </c>
      <c r="C25" s="462">
        <f t="shared" ca="1" si="3"/>
        <v>3055.4621848739503</v>
      </c>
      <c r="D25" s="462">
        <f t="shared" si="4"/>
        <v>162.4594147108408</v>
      </c>
      <c r="E25" s="462">
        <f t="shared" si="5"/>
        <v>3.6138235308240803</v>
      </c>
      <c r="F25" s="462">
        <f t="shared" si="6"/>
        <v>1163.8259286271675</v>
      </c>
      <c r="G25" s="462">
        <f t="shared" si="7"/>
        <v>0</v>
      </c>
      <c r="H25" s="462">
        <f t="shared" si="8"/>
        <v>0</v>
      </c>
      <c r="I25" s="462">
        <f t="shared" si="9"/>
        <v>0</v>
      </c>
      <c r="J25" s="462">
        <f t="shared" si="10"/>
        <v>67.258071378997982</v>
      </c>
      <c r="K25" s="462">
        <f t="shared" si="11"/>
        <v>0</v>
      </c>
      <c r="L25" s="462">
        <f t="shared" si="12"/>
        <v>0</v>
      </c>
      <c r="M25" s="462">
        <f t="shared" si="13"/>
        <v>0</v>
      </c>
      <c r="N25" s="462">
        <f t="shared" si="14"/>
        <v>0</v>
      </c>
      <c r="O25" s="462">
        <f t="shared" si="15"/>
        <v>0</v>
      </c>
      <c r="P25" s="463">
        <f t="shared" si="16"/>
        <v>0</v>
      </c>
      <c r="Q25" s="461">
        <f t="shared" ca="1" si="17"/>
        <v>4721.7181330999447</v>
      </c>
    </row>
    <row r="26" spans="1:17">
      <c r="A26" s="461" t="s">
        <v>657</v>
      </c>
      <c r="B26" s="462">
        <f t="shared" ca="1" si="2"/>
        <v>8071.2113179867038</v>
      </c>
      <c r="C26" s="462">
        <f t="shared" ca="1" si="3"/>
        <v>0</v>
      </c>
      <c r="D26" s="462">
        <f t="shared" si="4"/>
        <v>25995.762098330408</v>
      </c>
      <c r="E26" s="462">
        <f t="shared" si="5"/>
        <v>557.20760410438515</v>
      </c>
      <c r="F26" s="462">
        <f t="shared" si="6"/>
        <v>5238.2227741845954</v>
      </c>
      <c r="G26" s="462">
        <f t="shared" si="7"/>
        <v>0</v>
      </c>
      <c r="H26" s="462">
        <f t="shared" si="8"/>
        <v>0</v>
      </c>
      <c r="I26" s="462">
        <f t="shared" si="9"/>
        <v>0</v>
      </c>
      <c r="J26" s="462">
        <f t="shared" si="10"/>
        <v>25.714151068526771</v>
      </c>
      <c r="K26" s="462">
        <f t="shared" si="11"/>
        <v>0</v>
      </c>
      <c r="L26" s="462">
        <f t="shared" si="12"/>
        <v>0</v>
      </c>
      <c r="M26" s="462">
        <f t="shared" si="13"/>
        <v>0</v>
      </c>
      <c r="N26" s="462">
        <f t="shared" si="14"/>
        <v>0</v>
      </c>
      <c r="O26" s="462">
        <f t="shared" si="15"/>
        <v>0</v>
      </c>
      <c r="P26" s="463">
        <f t="shared" si="16"/>
        <v>0</v>
      </c>
      <c r="Q26" s="461">
        <f t="shared" ca="1" si="17"/>
        <v>39888.11794567461</v>
      </c>
    </row>
    <row r="27" spans="1:17" s="467" customFormat="1">
      <c r="A27" s="465" t="s">
        <v>574</v>
      </c>
      <c r="B27" s="775">
        <f t="shared" ca="1" si="2"/>
        <v>0.29298289094301566</v>
      </c>
      <c r="C27" s="466">
        <f t="shared" ca="1" si="3"/>
        <v>0</v>
      </c>
      <c r="D27" s="466">
        <f t="shared" si="4"/>
        <v>0.47983188919450681</v>
      </c>
      <c r="E27" s="466">
        <f t="shared" si="5"/>
        <v>16.386720530908729</v>
      </c>
      <c r="F27" s="466">
        <f t="shared" si="6"/>
        <v>0</v>
      </c>
      <c r="G27" s="466">
        <f t="shared" si="7"/>
        <v>7631.1022653613372</v>
      </c>
      <c r="H27" s="466">
        <f t="shared" si="8"/>
        <v>883.12640888606654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8531.3882095584504</v>
      </c>
    </row>
    <row r="28" spans="1:17">
      <c r="A28" s="461" t="s">
        <v>564</v>
      </c>
      <c r="B28" s="462">
        <f t="shared" ca="1" si="2"/>
        <v>0</v>
      </c>
      <c r="C28" s="462">
        <f t="shared" ca="1" si="3"/>
        <v>0</v>
      </c>
      <c r="D28" s="462">
        <f t="shared" si="4"/>
        <v>0</v>
      </c>
      <c r="E28" s="462">
        <f t="shared" si="5"/>
        <v>0</v>
      </c>
      <c r="F28" s="462">
        <f t="shared" si="6"/>
        <v>0</v>
      </c>
      <c r="G28" s="462">
        <f t="shared" si="7"/>
        <v>43.874742999776565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43.874742999776565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105.88264635589476</v>
      </c>
      <c r="C32" s="462">
        <f t="shared" ca="1" si="3"/>
        <v>0</v>
      </c>
      <c r="D32" s="462">
        <f t="shared" si="4"/>
        <v>175.72345065651663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281.6060970124114</v>
      </c>
    </row>
    <row r="33" spans="1:17" s="474" customFormat="1">
      <c r="A33" s="471" t="s">
        <v>568</v>
      </c>
      <c r="B33" s="472">
        <f ca="1">SUM(B22:B32)</f>
        <v>13258.130702129602</v>
      </c>
      <c r="C33" s="472">
        <f t="shared" ref="C33:Q33" ca="1" si="18">SUM(C22:C32)</f>
        <v>3055.4621848739503</v>
      </c>
      <c r="D33" s="472">
        <f t="shared" ca="1" si="18"/>
        <v>32818.167443551589</v>
      </c>
      <c r="E33" s="472">
        <f t="shared" si="18"/>
        <v>1094.8525279892399</v>
      </c>
      <c r="F33" s="472">
        <f t="shared" ca="1" si="18"/>
        <v>11374.739893276452</v>
      </c>
      <c r="G33" s="472">
        <f t="shared" si="18"/>
        <v>7674.9770083611138</v>
      </c>
      <c r="H33" s="472">
        <f t="shared" si="18"/>
        <v>883.12640888606654</v>
      </c>
      <c r="I33" s="472">
        <f t="shared" si="18"/>
        <v>0</v>
      </c>
      <c r="J33" s="472">
        <f t="shared" si="18"/>
        <v>249.95193390224716</v>
      </c>
      <c r="K33" s="472">
        <f t="shared" si="18"/>
        <v>0</v>
      </c>
      <c r="L33" s="472">
        <f t="shared" ca="1" si="18"/>
        <v>0</v>
      </c>
      <c r="M33" s="472">
        <f t="shared" si="18"/>
        <v>0</v>
      </c>
      <c r="N33" s="472">
        <f t="shared" ca="1" si="18"/>
        <v>0</v>
      </c>
      <c r="O33" s="472">
        <f t="shared" si="18"/>
        <v>0</v>
      </c>
      <c r="P33" s="472">
        <f t="shared" si="18"/>
        <v>0</v>
      </c>
      <c r="Q33" s="472">
        <f t="shared" ca="1" si="18"/>
        <v>70409.40810297025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2930.2959999999998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9000</v>
      </c>
      <c r="D8" s="1047">
        <f>'SEAP template'!D76</f>
        <v>10588.235294117649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2138.8235294117653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2930.2959999999998</v>
      </c>
      <c r="C10" s="1051">
        <f>SUM(C4:C9)</f>
        <v>9000</v>
      </c>
      <c r="D10" s="1051">
        <f t="shared" ref="D10:H10" si="0">SUM(D8:D9)</f>
        <v>10588.235294117649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2138.8235294117653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0.21300288121942471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12857.142857142857</v>
      </c>
      <c r="D17" s="1048">
        <f>'SEAP template'!D87</f>
        <v>15126.050420168069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3055.4621848739503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12857.142857142857</v>
      </c>
      <c r="D20" s="1051">
        <f t="shared" ref="D20:H20" si="2">SUM(D17:D19)</f>
        <v>15126.050420168069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3055.4621848739503</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0.21300288121942471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2019-08-12T08:03:22Z</dcterms:modified>
</cp:coreProperties>
</file>