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B101"/>
  <c r="C8" s="1"/>
  <c r="D101"/>
  <c r="F101"/>
  <c r="G101"/>
  <c r="C101"/>
  <c r="O9"/>
  <c r="B10"/>
  <c r="B8"/>
  <c r="B20"/>
  <c r="O19"/>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<sst xmlns="http://schemas.openxmlformats.org/spreadsheetml/2006/main" count="2450" uniqueCount="924">
  <si>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</si>
  <si>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</si>
  <si>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</si>
  <si>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</si>
  <si>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</si>
  <si>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</si>
  <si>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</si>
  <si>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</si>
  <si>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</si>
  <si>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</si>
  <si>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</si>
  <si>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</si>
  <si>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</si>
  <si>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</si>
  <si>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</si>
  <si>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</si>
  <si>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</si>
  <si>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</si>
  <si>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</si>
  <si>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</si>
  <si>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</si>
  <si>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</si>
  <si>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</si>
  <si>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</si>
  <si>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</si>
  <si>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</si>
  <si>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</si>
  <si>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</si>
  <si>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</si>
  <si>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</si>
  <si>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</si>
  <si>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</si>
  <si>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</si>
  <si>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</si>
  <si>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</si>
  <si>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</si>
  <si>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</si>
  <si>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</si>
  <si>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</si>
  <si>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</si>
  <si>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</si>
  <si>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</si>
  <si>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</si>
  <si>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</si>
  <si>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</si>
  <si>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</si>
  <si>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</si>
  <si>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</si>
  <si>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</si>
  <si>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</si>
  <si>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</si>
  <si>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</si>
  <si>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</si>
  <si>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</si>
  <si>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</si>
  <si>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</si>
  <si>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</si>
  <si>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</si>
  <si>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</si>
  <si>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</si>
  <si>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</si>
  <si>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</si>
  <si>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</si>
  <si>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</si>
  <si>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</si>
  <si>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</si>
  <si>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</si>
  <si>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</si>
  <si>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</si>
  <si>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</si>
  <si>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</si>
  <si>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</si>
  <si>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</si>
  <si>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</si>
  <si>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</si>
  <si>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</si>
  <si>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</si>
  <si>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</si>
  <si>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</si>
  <si>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</si>
  <si>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</si>
  <si>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</si>
  <si>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</si>
  <si>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</si>
  <si>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</si>
  <si>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</si>
  <si>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</si>
  <si>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</si>
  <si>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</si>
  <si>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</si>
  <si>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</si>
  <si>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</si>
  <si>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</si>
  <si>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</si>
  <si>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</si>
  <si>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</si>
  <si>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</si>
  <si>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</si>
  <si>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</si>
  <si>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</si>
  <si>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</si>
  <si>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</si>
  <si>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</si>
  <si>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</si>
  <si>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</si>
  <si>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</si>
  <si>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</si>
  <si>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</si>
  <si>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</si>
  <si>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</si>
  <si>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</si>
  <si>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</si>
  <si>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</si>
  <si>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</si>
  <si>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</si>
  <si>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</si>
  <si>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</si>
  <si>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</si>
  <si>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</si>
  <si>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</si>
  <si>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</si>
  <si>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</si>
  <si>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</si>
  <si>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</si>
  <si>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</si>
  <si>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</si>
  <si>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</si>
  <si>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</si>
  <si>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</si>
  <si>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</si>
  <si>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</si>
  <si>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</si>
  <si>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</si>
  <si>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</si>
  <si>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</si>
  <si>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</si>
  <si>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</si>
  <si>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</si>
  <si>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</si>
  <si>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</si>
  <si>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</si>
  <si>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</si>
  <si>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</si>
  <si>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</si>
  <si>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</si>
  <si>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</si>
  <si>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</si>
  <si>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</si>
  <si>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</si>
  <si>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</si>
  <si>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</si>
  <si>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</si>
  <si>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</si>
  <si>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</si>
  <si>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</si>
  <si>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</si>
  <si>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</si>
  <si>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</si>
  <si>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</si>
  <si>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</si>
  <si>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</si>
  <si>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</si>
  <si>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</si>
  <si>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</si>
  <si>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</si>
  <si>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</si>
  <si>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</si>
  <si>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</si>
  <si>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</si>
  <si>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</si>
  <si>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</si>
  <si>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</si>
  <si>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</si>
  <si>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</si>
  <si>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</si>
  <si>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</si>
  <si>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</si>
  <si>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</si>
  <si>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</si>
  <si>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</si>
  <si>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</si>
  <si>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</si>
  <si>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</si>
  <si>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</si>
  <si>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</si>
  <si>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</si>
  <si>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</si>
  <si>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</si>
  <si>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</si>
  <si>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</si>
  <si>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</si>
  <si>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</si>
  <si>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</si>
  <si>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</si>
  <si>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</si>
  <si>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</si>
  <si>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</si>
  <si>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</si>
  <si>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</si>
  <si>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</si>
  <si>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</si>
  <si>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</si>
  <si>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</si>
  <si>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</si>
  <si>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</si>
  <si>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</si>
  <si>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</si>
  <si>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</si>
  <si>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</si>
  <si>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</si>
  <si>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</si>
  <si>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</si>
  <si>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</si>
  <si>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</si>
  <si>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</si>
  <si>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</si>
  <si>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</si>
  <si>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</si>
  <si>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</si>
  <si>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</si>
  <si>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</si>
  <si>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</si>
  <si>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</si>
  <si>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</si>
  <si>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</si>
  <si>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</si>
  <si>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</si>
  <si>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</si>
  <si>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</si>
  <si>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</si>
  <si>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</si>
  <si>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</si>
  <si>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</si>
  <si>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</si>
  <si>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</si>
  <si>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</si>
  <si>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</si>
  <si>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</si>
  <si>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</si>
  <si>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</si>
  <si>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</si>
  <si>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</si>
  <si>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</si>
  <si>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</si>
  <si>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</si>
  <si>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</si>
  <si>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</si>
  <si>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</si>
  <si>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</si>
  <si>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</si>
  <si>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</si>
  <si>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</si>
  <si>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</si>
  <si>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</si>
  <si>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</si>
  <si>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</si>
  <si>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</si>
  <si>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</si>
  <si>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</si>
  <si>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</si>
  <si>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</si>
  <si>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</si>
  <si>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</si>
  <si>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</si>
  <si>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</si>
  <si>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</si>
  <si>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</si>
  <si>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</si>
  <si>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</si>
  <si>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</si>
  <si>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</si>
  <si>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</si>
  <si>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</si>
  <si>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</si>
  <si>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</si>
  <si>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</si>
  <si>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</si>
  <si>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</si>
  <si>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</si>
  <si>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</si>
  <si>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</si>
  <si>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</si>
  <si>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</si>
  <si>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</si>
  <si>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</si>
  <si>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</si>
  <si>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</si>
  <si>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</si>
  <si>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</si>
  <si>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</si>
  <si>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</si>
  <si>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</si>
  <si>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</si>
  <si>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</si>
  <si>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</si>
  <si>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</si>
  <si>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</si>
  <si>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</si>
  <si>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</si>
  <si>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</si>
  <si>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</si>
  <si>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</si>
  <si>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</si>
  <si>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</si>
  <si>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</si>
  <si>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</si>
  <si>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</si>
  <si>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</si>
  <si>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</si>
  <si>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</si>
  <si>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</si>
  <si>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</si>
  <si>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</si>
  <si>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</si>
  <si>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</si>
  <si>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</si>
  <si>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</si>
  <si>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</si>
  <si>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</si>
  <si>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</si>
  <si>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</si>
  <si>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</si>
  <si>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</si>
  <si>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</si>
  <si>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</si>
  <si>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</si>
  <si>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</si>
  <si>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</si>
  <si>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</si>
  <si>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</si>
  <si>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</si>
  <si>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</si>
  <si>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</si>
  <si>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</si>
  <si>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</si>
  <si>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</si>
  <si>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</si>
  <si>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</si>
  <si>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</si>
  <si>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</si>
  <si>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</si>
  <si>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</si>
  <si>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</si>
  <si>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</si>
  <si>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</si>
  <si>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</si>
  <si>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</si>
  <si>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</si>
  <si>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</si>
  <si>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</si>
  <si>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</si>
  <si>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</si>
  <si>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</si>
  <si>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</si>
  <si>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</si>
  <si>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</si>
  <si>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</si>
  <si>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</si>
  <si>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</si>
  <si>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</si>
  <si>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</si>
  <si>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</si>
  <si>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</si>
  <si>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</si>
  <si>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</si>
  <si>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</si>
  <si>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</si>
  <si>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</si>
  <si>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</si>
  <si>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</si>
  <si>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</si>
  <si>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</si>
  <si>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</si>
  <si>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</si>
  <si>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</si>
  <si>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</si>
  <si>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</si>
  <si>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</si>
  <si>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</si>
  <si>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</si>
  <si>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</si>
  <si>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</si>
  <si>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</si>
  <si>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</si>
  <si>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</si>
  <si>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</si>
  <si>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</si>
  <si>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</si>
  <si>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</si>
  <si>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</si>
  <si>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</si>
  <si>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</si>
  <si>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</si>
  <si>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</si>
  <si>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</si>
  <si>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</si>
  <si>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</si>
  <si>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</si>
  <si>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</si>
  <si>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</si>
  <si>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</si>
  <si>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</si>
  <si>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</si>
  <si>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</si>
  <si>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</si>
  <si>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</si>
  <si>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</si>
  <si>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</si>
  <si>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</si>
  <si>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</si>
  <si>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</si>
  <si>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</si>
  <si>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</si>
  <si>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</si>
  <si>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</si>
  <si>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</si>
  <si>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</si>
  <si>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</si>
  <si>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</si>
  <si>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</si>
  <si>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</si>
  <si>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</si>
  <si>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</si>
  <si>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</si>
  <si>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</si>
  <si>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</si>
  <si>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</si>
  <si>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</si>
  <si>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</si>
  <si>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</si>
  <si>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</si>
  <si>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</si>
  <si>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</si>
  <si>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</si>
  <si>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</si>
  <si>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</si>
  <si>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</si>
  <si>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</si>
  <si>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</si>
  <si>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</si>
  <si>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</si>
  <si>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</si>
  <si>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</si>
  <si>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</si>
  <si>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</si>
  <si>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</si>
  <si>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</si>
  <si>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</si>
  <si>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</si>
  <si>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</si>
  <si>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</si>
  <si>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</si>
  <si>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</si>
  <si>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</si>
  <si>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</si>
  <si>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</si>
  <si>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</si>
  <si>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</si>
  <si>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</si>
  <si>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</si>
  <si>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</si>
  <si>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</si>
  <si>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</si>
  <si>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</si>
  <si>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</si>
  <si>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</si>
  <si>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</si>
  <si>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</si>
  <si>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</si>
  <si>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</si>
  <si>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</si>
  <si>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</si>
  <si>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</si>
  <si>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</si>
  <si>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</si>
  <si>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</si>
  <si>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</si>
  <si>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</si>
  <si>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</si>
  <si>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</si>
  <si>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</si>
  <si>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</si>
  <si>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</si>
  <si>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</si>
  <si>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</si>
  <si>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</si>
  <si>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</si>
  <si>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</si>
  <si>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</si>
  <si>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</si>
  <si>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</si>
  <si>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</si>
  <si>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</si>
  <si>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</si>
  <si>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</si>
  <si>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</si>
  <si>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</si>
  <si>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</si>
  <si>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</si>
  <si>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</si>
  <si>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</si>
  <si>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</si>
  <si>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</si>
  <si>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</si>
  <si>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</si>
  <si>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</si>
  <si>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</si>
  <si>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</si>
  <si>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</si>
  <si>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</si>
  <si>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</si>
  <si>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</si>
  <si>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</si>
  <si>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</si>
  <si>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</si>
  <si>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</si>
  <si>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</si>
  <si>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</si>
  <si>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</si>
  <si>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</si>
  <si>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</si>
  <si>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</si>
  <si>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</si>
  <si>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</si>
  <si>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</si>
  <si>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</si>
  <si>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</si>
  <si>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</si>
  <si>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</si>
  <si>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</si>
  <si>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</si>
  <si>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</si>
  <si>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</si>
  <si>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</si>
  <si>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</si>
  <si>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</si>
  <si>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</si>
  <si>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</si>
  <si>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</si>
  <si>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</si>
  <si>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</si>
  <si>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</si>
  <si>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</si>
  <si>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</si>
  <si>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</si>
  <si>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</si>
  <si>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</si>
  <si>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</si>
  <si>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</si>
  <si>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</si>
  <si>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</si>
  <si>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</si>
  <si>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</si>
  <si>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</si>
  <si>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</si>
  <si>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</si>
  <si>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</si>
  <si>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</si>
  <si>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</si>
  <si>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</si>
  <si>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</si>
  <si>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</si>
  <si>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</si>
  <si>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</si>
  <si>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</si>
  <si>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</si>
  <si>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</si>
  <si>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</si>
  <si>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</si>
  <si>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</si>
  <si>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</si>
  <si>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</si>
  <si>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</si>
  <si>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</si>
  <si>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</si>
  <si>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</si>
  <si>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</si>
  <si>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</si>
  <si>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</si>
  <si>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</si>
  <si>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</si>
  <si>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</si>
  <si>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</si>
  <si>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</si>
  <si>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</si>
  <si>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</si>
  <si>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</si>
  <si>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</si>
  <si>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</si>
  <si>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</si>
  <si>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</si>
  <si>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</si>
  <si>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</si>
  <si>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</si>
  <si>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</si>
  <si>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</si>
  <si>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</si>
  <si>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</si>
  <si>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</si>
  <si>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</si>
  <si>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</si>
  <si>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</si>
  <si>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</si>
  <si>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</si>
  <si>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</si>
  <si>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</si>
  <si>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</si>
  <si>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</si>
  <si>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</si>
  <si>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</si>
  <si>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</si>
  <si>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</si>
  <si>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</si>
  <si>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</si>
  <si>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</si>
  <si>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</si>
  <si>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</si>
  <si>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</si>
  <si>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</si>
  <si>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</si>
  <si>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</si>
  <si>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</si>
  <si>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</si>
  <si>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</si>
  <si>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</si>
  <si>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</si>
  <si>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</si>
  <si>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</si>
  <si>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</si>
  <si>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</si>
  <si>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</si>
  <si>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</si>
  <si>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</si>
  <si>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</si>
  <si>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</si>
  <si>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</si>
  <si>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</si>
  <si>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</si>
  <si>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</si>
  <si>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</si>
  <si>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</si>
  <si>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</si>
  <si>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</si>
  <si>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</si>
  <si>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</si>
  <si>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</si>
  <si>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</si>
  <si>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</si>
  <si>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</si>
  <si>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</si>
  <si>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</si>
  <si>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</si>
  <si>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</si>
  <si>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</si>
  <si>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</si>
  <si>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</si>
  <si>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</si>
  <si>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</si>
  <si>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</si>
  <si>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</si>
  <si>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</si>
  <si>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</si>
  <si>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</si>
  <si>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</si>
  <si>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</si>
  <si>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</si>
  <si>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</si>
  <si>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</si>
  <si>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</si>
  <si>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</si>
  <si>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</si>
  <si>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</si>
  <si>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</si>
  <si>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</si>
  <si>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</si>
  <si>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</si>
  <si>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</si>
  <si>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</si>
  <si>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</si>
  <si>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</si>
  <si>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</si>
  <si>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</si>
  <si>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</si>
  <si>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</si>
  <si>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</si>
  <si>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</si>
  <si>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</si>
  <si>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</si>
  <si>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</si>
  <si>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</si>
  <si>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</si>
  <si>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</si>
  <si>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</si>
  <si>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</si>
  <si>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</si>
  <si>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</si>
  <si>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</si>
  <si>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</si>
  <si>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</si>
  <si>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</si>
  <si>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</si>
  <si>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</si>
  <si>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</si>
  <si>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</si>
  <si>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</si>
  <si>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</si>
  <si>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</si>
  <si>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</si>
  <si>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</si>
  <si>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</si>
  <si>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</si>
  <si>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</si>
  <si>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</si>
  <si>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</si>
  <si>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</si>
  <si>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</si>
  <si>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</si>
  <si>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</si>
  <si>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</si>
  <si>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</si>
  <si>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</si>
  <si>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</si>
  <si>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</si>
  <si>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</si>
  <si>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</si>
  <si>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</si>
  <si>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</si>
  <si>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</si>
  <si>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</si>
  <si>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</si>
  <si>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</si>
  <si>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</si>
  <si>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</si>
  <si>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</si>
  <si>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</si>
  <si>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</si>
  <si>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</si>
  <si>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</si>
  <si>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</si>
  <si>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</si>
  <si>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</si>
  <si>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</si>
  <si>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</si>
  <si>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</si>
  <si>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</si>
  <si>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</si>
  <si>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</si>
  <si>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</si>
  <si>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</si>
  <si>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</si>
  <si>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</si>
  <si>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</si>
  <si>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</si>
  <si>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</si>
  <si>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</si>
  <si>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</si>
  <si>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</si>
  <si>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</si>
  <si>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</si>
  <si>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</si>
  <si>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</si>
  <si>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</si>
  <si>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</si>
  <si>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</si>
  <si>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</si>
  <si>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</si>
  <si>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</si>
  <si>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</si>
  <si>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</si>
  <si>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</si>
  <si>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</si>
  <si>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</si>
  <si>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</si>
  <si>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</si>
  <si>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</si>
  <si>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</si>
  <si>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</si>
  <si>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</si>
  <si>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</si>
  <si>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</si>
  <si>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</si>
  <si>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</si>
  <si>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</si>
  <si>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</si>
  <si>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</si>
  <si>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</si>
  <si>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</si>
  <si>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</si>
  <si>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</si>
  <si>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</si>
  <si>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</si>
  <si>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</si>
  <si>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</si>
  <si>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</si>
  <si>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</si>
  <si>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</si>
  <si>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</si>
  <si>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</si>
  <si>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</si>
  <si>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</si>
  <si>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</si>
  <si>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</si>
  <si>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</si>
  <si>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</si>
  <si>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</si>
  <si>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</si>
  <si>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</si>
  <si>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</si>
  <si>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</si>
  <si>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</si>
  <si>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</si>
  <si>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</si>
  <si>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</si>
  <si>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</si>
  <si>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</si>
  <si>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</si>
  <si>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</si>
  <si>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</si>
  <si>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</si>
  <si>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</si>
  <si>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</si>
  <si>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</si>
  <si>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</si>
  <si>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</si>
  <si>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</si>
  <si>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</si>
  <si>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</si>
  <si>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</si>
  <si>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</si>
  <si>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</si>
  <si>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</si>
  <si>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</si>
  <si>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</si>
  <si>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</si>
  <si>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</si>
  <si>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</si>
  <si>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</si>
  <si>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</si>
  <si>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</si>
  <si>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</si>
  <si>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</si>
  <si>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</si>
  <si>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</si>
  <si>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</si>
  <si>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</si>
  <si>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</si>
  <si>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</si>
  <si>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</si>
  <si>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</si>
  <si>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</si>
  <si>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</si>
  <si>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</si>
  <si>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</si>
  <si>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</si>
  <si>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</si>
  <si>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</si>
  <si>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</si>
  <si>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</si>
  <si>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</si>
  <si>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</si>
  <si>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</si>
  <si>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</si>
  <si>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</si>
  <si>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</si>
  <si>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</si>
  <si>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</si>
  <si>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</si>
  <si>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</si>
  <si>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</si>
  <si>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</si>
  <si>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</si>
  <si>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</si>
  <si>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</si>
  <si>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</si>
  <si>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</si>
  <si>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</si>
  <si>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</si>
  <si>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</si>
  <si>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</si>
  <si>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</si>
  <si>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</si>
  <si>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</si>
  <si>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</si>
  <si>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</si>
  <si>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</si>
  <si>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</si>
  <si>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</si>
  <si>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</si>
  <si>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</si>
  <si>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</si>
  <si>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</si>
  <si>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</si>
  <si>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</si>
  <si>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</si>
  <si>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</si>
  <si>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</si>
  <si>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</si>
  <si>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</si>
  <si>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</si>
  <si>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</si>
  <si>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</si>
  <si>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</si>
  <si>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</si>
  <si>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</si>
  <si>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</si>
  <si>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</si>
  <si>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37002</t>
  </si>
  <si>
    <t>DENTERGEM</t>
  </si>
  <si>
    <t>Cultuurgrond (ha)</t>
  </si>
  <si>
    <t>Paarden&amp;pony's 200 - 600 kg</t>
  </si>
  <si>
    <t>Paarden&amp;pony's &lt; 200 kg</t>
  </si>
  <si>
    <t>op basis van VEA (maart 2018) en Inventaris Hernieuwbare Energiebronnen (juni 2018)</t>
  </si>
  <si>
    <t>VEA (juni 2018)</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</si>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</sst>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78554.692029641054</c:v>
                </c:pt>
                <c:pt idx="1">
                  <c:v>18339.680351109924</c:v>
                </c:pt>
                <c:pt idx="2">
                  <c:v>615.26199999999994</c:v>
                </c:pt>
                <c:pt idx="3">
                  <c:v>18783.747812935904</c:v>
                </c:pt>
                <c:pt idx="4">
                  <c:v>31188.998755679364</c:v>
                </c:pt>
                <c:pt idx="5">
                  <c:v>32537.694458695063</c:v>
                </c:pt>
                <c:pt idx="6">
                  <c:v>153.16684366796525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78554.692029641054</c:v>
                </c:pt>
                <c:pt idx="1">
                  <c:v>18339.680351109924</c:v>
                </c:pt>
                <c:pt idx="2">
                  <c:v>615.26199999999994</c:v>
                </c:pt>
                <c:pt idx="3">
                  <c:v>18783.747812935904</c:v>
                </c:pt>
                <c:pt idx="4">
                  <c:v>31188.998755679364</c:v>
                </c:pt>
                <c:pt idx="5">
                  <c:v>32537.694458695063</c:v>
                </c:pt>
                <c:pt idx="6">
                  <c:v>153.16684366796525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15330.257134146963</c:v>
                </c:pt>
                <c:pt idx="2">
                  <c:v>3671.3112976044276</c:v>
                </c:pt>
                <c:pt idx="3">
                  <c:v>129.39516815294641</c:v>
                </c:pt>
                <c:pt idx="4">
                  <c:v>4684.5057148969909</c:v>
                </c:pt>
                <c:pt idx="5">
                  <c:v>6089.7160686358011</c:v>
                </c:pt>
                <c:pt idx="6">
                  <c:v>8234.1443052948289</c:v>
                </c:pt>
                <c:pt idx="7">
                  <c:v>39.154261483141951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15330.257134146963</c:v>
                </c:pt>
                <c:pt idx="2">
                  <c:v>3671.3112976044276</c:v>
                </c:pt>
                <c:pt idx="3">
                  <c:v>129.39516815294641</c:v>
                </c:pt>
                <c:pt idx="4">
                  <c:v>4684.5057148969909</c:v>
                </c:pt>
                <c:pt idx="5">
                  <c:v>6089.7160686358011</c:v>
                </c:pt>
                <c:pt idx="6">
                  <c:v>8234.1443052948289</c:v>
                </c:pt>
                <c:pt idx="7">
                  <c:v>39.154261483141951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37002</v>
      </c>
      <c r="B6" s="398"/>
      <c r="C6" s="399"/>
    </row>
    <row r="7" spans="1:7" s="396" customFormat="1" ht="15.75" customHeight="1">
      <c r="A7" s="400" t="str">
        <f>txtMunicipality</f>
        <v>DENTERGEM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0.21030905232721411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0.21030905232721411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3251</v>
      </c>
      <c r="C9" s="338">
        <v>3405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1711</v>
      </c>
    </row>
    <row r="15" spans="1:6">
      <c r="A15" s="1295" t="s">
        <v>184</v>
      </c>
      <c r="B15" s="335">
        <v>25</v>
      </c>
    </row>
    <row r="16" spans="1:6">
      <c r="A16" s="1295" t="s">
        <v>6</v>
      </c>
      <c r="B16" s="335">
        <v>711</v>
      </c>
    </row>
    <row r="17" spans="1:6">
      <c r="A17" s="1295" t="s">
        <v>7</v>
      </c>
      <c r="B17" s="335">
        <v>901</v>
      </c>
    </row>
    <row r="18" spans="1:6">
      <c r="A18" s="1295" t="s">
        <v>8</v>
      </c>
      <c r="B18" s="335">
        <v>1047</v>
      </c>
    </row>
    <row r="19" spans="1:6">
      <c r="A19" s="1295" t="s">
        <v>9</v>
      </c>
      <c r="B19" s="335">
        <v>1016</v>
      </c>
    </row>
    <row r="20" spans="1:6">
      <c r="A20" s="1295" t="s">
        <v>10</v>
      </c>
      <c r="B20" s="335">
        <v>599</v>
      </c>
    </row>
    <row r="21" spans="1:6">
      <c r="A21" s="1295" t="s">
        <v>11</v>
      </c>
      <c r="B21" s="335">
        <v>12195</v>
      </c>
    </row>
    <row r="22" spans="1:6">
      <c r="A22" s="1295" t="s">
        <v>12</v>
      </c>
      <c r="B22" s="335">
        <v>27237</v>
      </c>
    </row>
    <row r="23" spans="1:6">
      <c r="A23" s="1295" t="s">
        <v>13</v>
      </c>
      <c r="B23" s="335">
        <v>827</v>
      </c>
    </row>
    <row r="24" spans="1:6">
      <c r="A24" s="1295" t="s">
        <v>14</v>
      </c>
      <c r="B24" s="335">
        <v>36</v>
      </c>
    </row>
    <row r="25" spans="1:6">
      <c r="A25" s="1295" t="s">
        <v>15</v>
      </c>
      <c r="B25" s="335">
        <v>3415</v>
      </c>
    </row>
    <row r="26" spans="1:6">
      <c r="A26" s="1295" t="s">
        <v>16</v>
      </c>
      <c r="B26" s="335">
        <v>44</v>
      </c>
    </row>
    <row r="27" spans="1:6">
      <c r="A27" s="1295" t="s">
        <v>17</v>
      </c>
      <c r="B27" s="335">
        <v>0</v>
      </c>
    </row>
    <row r="28" spans="1:6" s="341" customFormat="1">
      <c r="A28" s="1296" t="s">
        <v>18</v>
      </c>
      <c r="B28" s="1296">
        <v>132535</v>
      </c>
    </row>
    <row r="29" spans="1:6">
      <c r="A29" s="1296" t="s">
        <v>909</v>
      </c>
      <c r="B29" s="1296">
        <v>90</v>
      </c>
      <c r="C29" s="341"/>
      <c r="D29" s="341"/>
      <c r="E29" s="341"/>
      <c r="F29" s="341"/>
    </row>
    <row r="30" spans="1:6">
      <c r="A30" s="1291" t="s">
        <v>910</v>
      </c>
      <c r="B30" s="1291">
        <v>21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1393</v>
      </c>
      <c r="D39" s="335">
        <v>25018736.344291601</v>
      </c>
      <c r="E39" s="335">
        <v>3014</v>
      </c>
      <c r="F39" s="335">
        <v>13041021.8719372</v>
      </c>
    </row>
    <row r="40" spans="1:6">
      <c r="A40" s="1295" t="s">
        <v>30</v>
      </c>
      <c r="B40" s="1295" t="s">
        <v>29</v>
      </c>
      <c r="C40" s="335">
        <v>0</v>
      </c>
      <c r="D40" s="335">
        <v>0</v>
      </c>
      <c r="E40" s="335">
        <v>0</v>
      </c>
      <c r="F40" s="335">
        <v>0</v>
      </c>
    </row>
    <row r="41" spans="1:6">
      <c r="A41" s="1295" t="s">
        <v>32</v>
      </c>
      <c r="B41" s="1295" t="s">
        <v>33</v>
      </c>
      <c r="C41" s="335">
        <v>31</v>
      </c>
      <c r="D41" s="335">
        <v>577141.11006766104</v>
      </c>
      <c r="E41" s="335">
        <v>127</v>
      </c>
      <c r="F41" s="335">
        <v>1761978.7083867199</v>
      </c>
    </row>
    <row r="42" spans="1:6">
      <c r="A42" s="1295" t="s">
        <v>32</v>
      </c>
      <c r="B42" s="1295" t="s">
        <v>34</v>
      </c>
      <c r="C42" s="335">
        <v>0</v>
      </c>
      <c r="D42" s="335">
        <v>0</v>
      </c>
      <c r="E42" s="335">
        <v>3</v>
      </c>
      <c r="F42" s="335">
        <v>336598.24474519398</v>
      </c>
    </row>
    <row r="43" spans="1:6">
      <c r="A43" s="1295" t="s">
        <v>32</v>
      </c>
      <c r="B43" s="1295" t="s">
        <v>35</v>
      </c>
      <c r="C43" s="335">
        <v>0</v>
      </c>
      <c r="D43" s="335">
        <v>0</v>
      </c>
      <c r="E43" s="335">
        <v>0</v>
      </c>
      <c r="F43" s="335">
        <v>0</v>
      </c>
    </row>
    <row r="44" spans="1:6">
      <c r="A44" s="1295" t="s">
        <v>32</v>
      </c>
      <c r="B44" s="1295" t="s">
        <v>36</v>
      </c>
      <c r="C44" s="335">
        <v>0</v>
      </c>
      <c r="D44" s="335">
        <v>0</v>
      </c>
      <c r="E44" s="335">
        <v>16</v>
      </c>
      <c r="F44" s="335">
        <v>136950.124350281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640428.37315509201</v>
      </c>
      <c r="E48" s="335">
        <v>24</v>
      </c>
      <c r="F48" s="335">
        <v>15596954.8971125</v>
      </c>
    </row>
    <row r="49" spans="1:6">
      <c r="A49" s="1295" t="s">
        <v>32</v>
      </c>
      <c r="B49" s="1295" t="s">
        <v>40</v>
      </c>
      <c r="C49" s="335">
        <v>0</v>
      </c>
      <c r="D49" s="335">
        <v>0</v>
      </c>
      <c r="E49" s="335">
        <v>14</v>
      </c>
      <c r="F49" s="335">
        <v>1278443.51858045</v>
      </c>
    </row>
    <row r="50" spans="1:6">
      <c r="A50" s="1295" t="s">
        <v>32</v>
      </c>
      <c r="B50" s="1295" t="s">
        <v>41</v>
      </c>
      <c r="C50" s="335">
        <v>6</v>
      </c>
      <c r="D50" s="335">
        <v>543493.93920708401</v>
      </c>
      <c r="E50" s="335">
        <v>8</v>
      </c>
      <c r="F50" s="335">
        <v>179311.43575412099</v>
      </c>
    </row>
    <row r="51" spans="1:6">
      <c r="A51" s="1295" t="s">
        <v>42</v>
      </c>
      <c r="B51" s="1295" t="s">
        <v>43</v>
      </c>
      <c r="C51" s="335">
        <v>3</v>
      </c>
      <c r="D51" s="335">
        <v>16859.955804418802</v>
      </c>
      <c r="E51" s="335">
        <v>99</v>
      </c>
      <c r="F51" s="335">
        <v>2266094.5904842699</v>
      </c>
    </row>
    <row r="52" spans="1:6">
      <c r="A52" s="1295" t="s">
        <v>42</v>
      </c>
      <c r="B52" s="1295" t="s">
        <v>29</v>
      </c>
      <c r="C52" s="335">
        <v>1</v>
      </c>
      <c r="D52" s="335">
        <v>34566.839461846903</v>
      </c>
      <c r="E52" s="335">
        <v>6</v>
      </c>
      <c r="F52" s="335">
        <v>150125.658887139</v>
      </c>
    </row>
    <row r="53" spans="1:6">
      <c r="A53" s="1295" t="s">
        <v>44</v>
      </c>
      <c r="B53" s="1295" t="s">
        <v>45</v>
      </c>
      <c r="C53" s="335">
        <v>37</v>
      </c>
      <c r="D53" s="335">
        <v>748637.85289764195</v>
      </c>
      <c r="E53" s="335">
        <v>90</v>
      </c>
      <c r="F53" s="335">
        <v>368070.721510712</v>
      </c>
    </row>
    <row r="54" spans="1:6">
      <c r="A54" s="1295" t="s">
        <v>46</v>
      </c>
      <c r="B54" s="1295" t="s">
        <v>47</v>
      </c>
      <c r="C54" s="335">
        <v>0</v>
      </c>
      <c r="D54" s="335">
        <v>0</v>
      </c>
      <c r="E54" s="335">
        <v>1</v>
      </c>
      <c r="F54" s="335">
        <v>615262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1023372.9670629</v>
      </c>
      <c r="E57" s="335">
        <v>59</v>
      </c>
      <c r="F57" s="335">
        <v>1241862.6312460599</v>
      </c>
    </row>
    <row r="58" spans="1:6">
      <c r="A58" s="1295" t="s">
        <v>49</v>
      </c>
      <c r="B58" s="1295" t="s">
        <v>51</v>
      </c>
      <c r="C58" s="335">
        <v>0</v>
      </c>
      <c r="D58" s="335">
        <v>0</v>
      </c>
      <c r="E58" s="335">
        <v>6</v>
      </c>
      <c r="F58" s="335">
        <v>51565.330329803903</v>
      </c>
    </row>
    <row r="59" spans="1:6">
      <c r="A59" s="1295" t="s">
        <v>49</v>
      </c>
      <c r="B59" s="1295" t="s">
        <v>52</v>
      </c>
      <c r="C59" s="335">
        <v>12</v>
      </c>
      <c r="D59" s="335">
        <v>671933.74318724801</v>
      </c>
      <c r="E59" s="335">
        <v>71</v>
      </c>
      <c r="F59" s="335">
        <v>3366466.9868093198</v>
      </c>
    </row>
    <row r="60" spans="1:6">
      <c r="A60" s="1295" t="s">
        <v>49</v>
      </c>
      <c r="B60" s="1295" t="s">
        <v>53</v>
      </c>
      <c r="C60" s="335">
        <v>13</v>
      </c>
      <c r="D60" s="335">
        <v>480365.95871057501</v>
      </c>
      <c r="E60" s="335">
        <v>27</v>
      </c>
      <c r="F60" s="335">
        <v>418650.006113938</v>
      </c>
    </row>
    <row r="61" spans="1:6">
      <c r="A61" s="1295" t="s">
        <v>49</v>
      </c>
      <c r="B61" s="1295" t="s">
        <v>54</v>
      </c>
      <c r="C61" s="335">
        <v>28</v>
      </c>
      <c r="D61" s="335">
        <v>657283.51043717703</v>
      </c>
      <c r="E61" s="335">
        <v>100</v>
      </c>
      <c r="F61" s="335">
        <v>809950.874081549</v>
      </c>
    </row>
    <row r="62" spans="1:6">
      <c r="A62" s="1295" t="s">
        <v>49</v>
      </c>
      <c r="B62" s="1295" t="s">
        <v>55</v>
      </c>
      <c r="C62" s="335">
        <v>4</v>
      </c>
      <c r="D62" s="335">
        <v>199924.50360139401</v>
      </c>
      <c r="E62" s="335">
        <v>6</v>
      </c>
      <c r="F62" s="335">
        <v>50538.957043499198</v>
      </c>
    </row>
    <row r="63" spans="1:6">
      <c r="A63" s="1295" t="s">
        <v>49</v>
      </c>
      <c r="B63" s="1295" t="s">
        <v>29</v>
      </c>
      <c r="C63" s="335">
        <v>59</v>
      </c>
      <c r="D63" s="335">
        <v>4943128.7084539998</v>
      </c>
      <c r="E63" s="335">
        <v>88</v>
      </c>
      <c r="F63" s="335">
        <v>2342916.4035147498</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68775.895367262507</v>
      </c>
      <c r="E68" s="335">
        <v>12</v>
      </c>
      <c r="F68" s="335">
        <v>151393.76755217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20426741</v>
      </c>
      <c r="E73" s="335">
        <v>23931886.096541256</v>
      </c>
    </row>
    <row r="74" spans="1:6">
      <c r="A74" s="1295" t="s">
        <v>64</v>
      </c>
      <c r="B74" s="1295" t="s">
        <v>727</v>
      </c>
      <c r="C74" s="1295" t="s">
        <v>728</v>
      </c>
      <c r="D74" s="335">
        <v>3361677.5731996382</v>
      </c>
      <c r="E74" s="335">
        <v>3944775.2683320018</v>
      </c>
    </row>
    <row r="75" spans="1:6">
      <c r="A75" s="1295" t="s">
        <v>65</v>
      </c>
      <c r="B75" s="1295" t="s">
        <v>725</v>
      </c>
      <c r="C75" s="1295" t="s">
        <v>729</v>
      </c>
      <c r="D75" s="335">
        <v>8854635</v>
      </c>
      <c r="E75" s="335">
        <v>10257109.050699454</v>
      </c>
    </row>
    <row r="76" spans="1:6">
      <c r="A76" s="1295" t="s">
        <v>65</v>
      </c>
      <c r="B76" s="1295" t="s">
        <v>727</v>
      </c>
      <c r="C76" s="1295" t="s">
        <v>730</v>
      </c>
      <c r="D76" s="335">
        <v>944399.57319963805</v>
      </c>
      <c r="E76" s="335">
        <v>1104245.9958287757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40464.853600723931</v>
      </c>
      <c r="C83" s="335">
        <v>40706.267469165308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1755.576</v>
      </c>
    </row>
    <row r="92" spans="1:6">
      <c r="A92" s="1291" t="s">
        <v>69</v>
      </c>
      <c r="B92" s="338">
        <v>861.25289999999995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645</v>
      </c>
    </row>
    <row r="98" spans="1:6">
      <c r="A98" s="1295" t="s">
        <v>72</v>
      </c>
      <c r="B98" s="335">
        <v>1</v>
      </c>
    </row>
    <row r="99" spans="1:6">
      <c r="A99" s="1295" t="s">
        <v>73</v>
      </c>
      <c r="B99" s="335">
        <v>67</v>
      </c>
    </row>
    <row r="100" spans="1:6">
      <c r="A100" s="1295" t="s">
        <v>74</v>
      </c>
      <c r="B100" s="335">
        <v>257</v>
      </c>
    </row>
    <row r="101" spans="1:6">
      <c r="A101" s="1295" t="s">
        <v>75</v>
      </c>
      <c r="B101" s="335">
        <v>74</v>
      </c>
    </row>
    <row r="102" spans="1:6">
      <c r="A102" s="1295" t="s">
        <v>76</v>
      </c>
      <c r="B102" s="335">
        <v>67</v>
      </c>
    </row>
    <row r="103" spans="1:6">
      <c r="A103" s="1295" t="s">
        <v>77</v>
      </c>
      <c r="B103" s="335">
        <v>73</v>
      </c>
    </row>
    <row r="104" spans="1:6">
      <c r="A104" s="1295" t="s">
        <v>78</v>
      </c>
      <c r="B104" s="335">
        <v>1713</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72</v>
      </c>
    </row>
    <row r="130" spans="1:6">
      <c r="A130" s="1295" t="s">
        <v>295</v>
      </c>
      <c r="B130" s="335">
        <v>1</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45769.937839561229</v>
      </c>
      <c r="C3" s="43" t="s">
        <v>170</v>
      </c>
      <c r="D3" s="43"/>
      <c r="E3" s="156"/>
      <c r="F3" s="43"/>
      <c r="G3" s="43"/>
      <c r="H3" s="43"/>
      <c r="I3" s="43"/>
      <c r="J3" s="43"/>
      <c r="K3" s="96"/>
    </row>
    <row r="4" spans="1:11">
      <c r="A4" s="366" t="s">
        <v>171</v>
      </c>
      <c r="B4" s="49">
        <f>IF(ISERROR('SEAP template'!B78+'SEAP template'!C78),0,'SEAP template'!B78+'SEAP template'!C78)</f>
        <v>7962.8289000000004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1270.4611764705885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0.21030905232721411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1814.9445378151263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7637.1428571428569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615.26199999999994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615.26199999999994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0.21030905232721411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129.39516815294641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13041.021871937201</v>
      </c>
      <c r="C5" s="17">
        <f>IF(ISERROR('Eigen informatie GS &amp; warmtenet'!B57),0,'Eigen informatie GS &amp; warmtenet'!B57)</f>
        <v>0</v>
      </c>
      <c r="D5" s="30">
        <f>(SUM(HH_hh_gas_kWh,HH_rest_gas_kWh)/1000)*0.902</f>
        <v>22566.900182551028</v>
      </c>
      <c r="E5" s="17">
        <f>B46*B57</f>
        <v>2817.5087801346981</v>
      </c>
      <c r="F5" s="17">
        <f>B51*B62</f>
        <v>26293.297108865514</v>
      </c>
      <c r="G5" s="18"/>
      <c r="H5" s="17"/>
      <c r="I5" s="17"/>
      <c r="J5" s="17">
        <f>B50*B61+C50*C61</f>
        <v>0</v>
      </c>
      <c r="K5" s="17"/>
      <c r="L5" s="17"/>
      <c r="M5" s="17"/>
      <c r="N5" s="17">
        <f>B48*B59+C48*C59</f>
        <v>11666.194752819289</v>
      </c>
      <c r="O5" s="17">
        <f>B69*B70*B71</f>
        <v>128.19333333333336</v>
      </c>
      <c r="P5" s="17">
        <f>B77*B78*B79/1000-B77*B78*B79/1000/B80</f>
        <v>286</v>
      </c>
    </row>
    <row r="6" spans="1:16">
      <c r="A6" s="16" t="s">
        <v>634</v>
      </c>
      <c r="B6" s="783">
        <f>kWh_PV_kleiner_dan_10kW</f>
        <v>1755.576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14796.5978719372</v>
      </c>
      <c r="C8" s="21">
        <f>C5</f>
        <v>0</v>
      </c>
      <c r="D8" s="21">
        <f>D5</f>
        <v>22566.900182551028</v>
      </c>
      <c r="E8" s="21">
        <f>E5</f>
        <v>2817.5087801346981</v>
      </c>
      <c r="F8" s="21">
        <f>F5</f>
        <v>26293.297108865514</v>
      </c>
      <c r="G8" s="21"/>
      <c r="H8" s="21"/>
      <c r="I8" s="21"/>
      <c r="J8" s="21">
        <f>J5</f>
        <v>0</v>
      </c>
      <c r="K8" s="21"/>
      <c r="L8" s="21">
        <f>L5</f>
        <v>0</v>
      </c>
      <c r="M8" s="21">
        <f>M5</f>
        <v>0</v>
      </c>
      <c r="N8" s="21">
        <f>N5</f>
        <v>11666.194752819289</v>
      </c>
      <c r="O8" s="21">
        <f>O5</f>
        <v>128.19333333333336</v>
      </c>
      <c r="P8" s="21">
        <f>P5</f>
        <v>286</v>
      </c>
    </row>
    <row r="9" spans="1:16">
      <c r="B9" s="19"/>
      <c r="C9" s="19"/>
      <c r="D9" s="261"/>
      <c r="E9" s="19"/>
      <c r="F9" s="19"/>
      <c r="G9" s="19"/>
      <c r="H9" s="19"/>
      <c r="I9" s="19"/>
      <c r="J9" s="19"/>
      <c r="K9" s="19"/>
      <c r="L9" s="19"/>
      <c r="M9" s="19"/>
      <c r="N9" s="19"/>
      <c r="O9" s="19"/>
      <c r="P9" s="19"/>
    </row>
    <row r="10" spans="1:16">
      <c r="A10" s="24" t="s">
        <v>214</v>
      </c>
      <c r="B10" s="25">
        <f ca="1">'EF ele_warmte'!B12</f>
        <v>0.21030905232721411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3111.8584761139855</v>
      </c>
      <c r="C12" s="23">
        <f ca="1">C10*C8</f>
        <v>0</v>
      </c>
      <c r="D12" s="23">
        <f>D8*D10</f>
        <v>4558.5138368753078</v>
      </c>
      <c r="E12" s="23">
        <f>E10*E8</f>
        <v>639.57449309057654</v>
      </c>
      <c r="F12" s="23">
        <f>F10*F8</f>
        <v>7020.310328067093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645</v>
      </c>
      <c r="C18" s="168" t="s">
        <v>111</v>
      </c>
      <c r="D18" s="230"/>
      <c r="E18" s="15"/>
    </row>
    <row r="19" spans="1:7">
      <c r="A19" s="173" t="s">
        <v>72</v>
      </c>
      <c r="B19" s="37">
        <f>aantalw2001_ander</f>
        <v>1</v>
      </c>
      <c r="C19" s="168" t="s">
        <v>111</v>
      </c>
      <c r="D19" s="231"/>
      <c r="E19" s="15"/>
    </row>
    <row r="20" spans="1:7">
      <c r="A20" s="173" t="s">
        <v>73</v>
      </c>
      <c r="B20" s="37">
        <f>aantalw2001_propaan</f>
        <v>67</v>
      </c>
      <c r="C20" s="169">
        <f>IF(ISERROR(B20/SUM($B$20,$B$21,$B$22)*100),0,B20/SUM($B$20,$B$21,$B$22)*100)</f>
        <v>16.834170854271356</v>
      </c>
      <c r="D20" s="231"/>
      <c r="E20" s="15"/>
    </row>
    <row r="21" spans="1:7">
      <c r="A21" s="173" t="s">
        <v>74</v>
      </c>
      <c r="B21" s="37">
        <f>aantalw2001_elektriciteit</f>
        <v>257</v>
      </c>
      <c r="C21" s="169">
        <f>IF(ISERROR(B21/SUM($B$20,$B$21,$B$22)*100),0,B21/SUM($B$20,$B$21,$B$22)*100)</f>
        <v>64.572864321608037</v>
      </c>
      <c r="D21" s="231"/>
      <c r="E21" s="15"/>
    </row>
    <row r="22" spans="1:7">
      <c r="A22" s="173" t="s">
        <v>75</v>
      </c>
      <c r="B22" s="37">
        <f>aantalw2001_hout</f>
        <v>74</v>
      </c>
      <c r="C22" s="169">
        <f>IF(ISERROR(B22/SUM($B$20,$B$21,$B$22)*100),0,B22/SUM($B$20,$B$21,$B$22)*100)</f>
        <v>18.592964824120603</v>
      </c>
      <c r="D22" s="231"/>
      <c r="E22" s="15"/>
    </row>
    <row r="23" spans="1:7">
      <c r="A23" s="173" t="s">
        <v>76</v>
      </c>
      <c r="B23" s="37">
        <f>aantalw2001_niet_gespec</f>
        <v>67</v>
      </c>
      <c r="C23" s="168" t="s">
        <v>111</v>
      </c>
      <c r="D23" s="230"/>
      <c r="E23" s="15"/>
    </row>
    <row r="24" spans="1:7">
      <c r="A24" s="173" t="s">
        <v>77</v>
      </c>
      <c r="B24" s="37">
        <f>aantalw2001_steenkool</f>
        <v>73</v>
      </c>
      <c r="C24" s="168" t="s">
        <v>111</v>
      </c>
      <c r="D24" s="231"/>
      <c r="E24" s="15"/>
    </row>
    <row r="25" spans="1:7">
      <c r="A25" s="173" t="s">
        <v>78</v>
      </c>
      <c r="B25" s="37">
        <f>aantalw2001_stookolie</f>
        <v>1713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3251</v>
      </c>
      <c r="C28" s="36"/>
      <c r="D28" s="230"/>
    </row>
    <row r="29" spans="1:7" s="15" customFormat="1">
      <c r="A29" s="232" t="s">
        <v>746</v>
      </c>
      <c r="B29" s="37">
        <f>SUM(HH_hh_gas_aantal,HH_rest_gas_aantal)</f>
        <v>1393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1393</v>
      </c>
      <c r="C32" s="169">
        <f>IF(ISERROR(B32/SUM($B$32,$B$34,$B$35,$B$36,$B$38,$B$39)*100),0,B32/SUM($B$32,$B$34,$B$35,$B$36,$B$38,$B$39)*100)</f>
        <v>43.046971569839307</v>
      </c>
      <c r="D32" s="235"/>
      <c r="G32" s="15"/>
    </row>
    <row r="33" spans="1:7">
      <c r="A33" s="173" t="s">
        <v>72</v>
      </c>
      <c r="B33" s="34" t="s">
        <v>111</v>
      </c>
      <c r="C33" s="169"/>
      <c r="D33" s="235"/>
      <c r="G33" s="15"/>
    </row>
    <row r="34" spans="1:7">
      <c r="A34" s="173" t="s">
        <v>73</v>
      </c>
      <c r="B34" s="33">
        <f>IF((($B$28-$B$32-$B$39-$B$77-$B$38)*C20/100)&lt;0,0,($B$28-$B$32-$B$39-$B$77-$B$38)*C20/100)</f>
        <v>135.21206030150753</v>
      </c>
      <c r="C34" s="169">
        <f>IF(ISERROR(B34/SUM($B$32,$B$34,$B$35,$B$36,$B$38,$B$39)*100),0,B34/SUM($B$32,$B$34,$B$35,$B$36,$B$38,$B$39)*100)</f>
        <v>4.178370219453261</v>
      </c>
      <c r="D34" s="235"/>
      <c r="G34" s="15"/>
    </row>
    <row r="35" spans="1:7">
      <c r="A35" s="173" t="s">
        <v>74</v>
      </c>
      <c r="B35" s="33">
        <f>IF((($B$28-$B$32-$B$39-$B$77-$B$38)*C21/100)&lt;0,0,($B$28-$B$32-$B$39-$B$77-$B$38)*C21/100)</f>
        <v>518.64924623115576</v>
      </c>
      <c r="C35" s="169">
        <f>IF(ISERROR(B35/SUM($B$32,$B$34,$B$35,$B$36,$B$38,$B$39)*100),0,B35/SUM($B$32,$B$34,$B$35,$B$36,$B$38,$B$39)*100)</f>
        <v>16.027479797007285</v>
      </c>
      <c r="D35" s="235"/>
      <c r="G35" s="15"/>
    </row>
    <row r="36" spans="1:7">
      <c r="A36" s="173" t="s">
        <v>75</v>
      </c>
      <c r="B36" s="33">
        <f>IF((($B$28-$B$32-$B$39-$B$77-$B$38)*C22/100)&lt;0,0,($B$28-$B$32-$B$39-$B$77-$B$38)*C22/100)</f>
        <v>149.3386934673367</v>
      </c>
      <c r="C36" s="169">
        <f>IF(ISERROR(B36/SUM($B$32,$B$34,$B$35,$B$36,$B$38,$B$39)*100),0,B36/SUM($B$32,$B$34,$B$35,$B$36,$B$38,$B$39)*100)</f>
        <v>4.6149163617841991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1039.8</v>
      </c>
      <c r="C39" s="169">
        <f>IF(ISERROR(B39/SUM($B$32,$B$34,$B$35,$B$36,$B$38,$B$39)*100),0,B39/SUM($B$32,$B$34,$B$35,$B$36,$B$38,$B$39)*100)</f>
        <v>32.132262051915944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1393</v>
      </c>
      <c r="C44" s="34" t="s">
        <v>111</v>
      </c>
      <c r="D44" s="176"/>
    </row>
    <row r="45" spans="1:7">
      <c r="A45" s="173" t="s">
        <v>72</v>
      </c>
      <c r="B45" s="33" t="str">
        <f t="shared" si="0"/>
        <v>-</v>
      </c>
      <c r="C45" s="34" t="s">
        <v>111</v>
      </c>
      <c r="D45" s="176"/>
    </row>
    <row r="46" spans="1:7">
      <c r="A46" s="173" t="s">
        <v>73</v>
      </c>
      <c r="B46" s="33">
        <f t="shared" si="0"/>
        <v>135.21206030150753</v>
      </c>
      <c r="C46" s="34" t="s">
        <v>111</v>
      </c>
      <c r="D46" s="176"/>
    </row>
    <row r="47" spans="1:7">
      <c r="A47" s="173" t="s">
        <v>74</v>
      </c>
      <c r="B47" s="33">
        <f t="shared" si="0"/>
        <v>518.64924623115576</v>
      </c>
      <c r="C47" s="34" t="s">
        <v>111</v>
      </c>
      <c r="D47" s="176"/>
    </row>
    <row r="48" spans="1:7">
      <c r="A48" s="173" t="s">
        <v>75</v>
      </c>
      <c r="B48" s="33">
        <f t="shared" si="0"/>
        <v>149.3386934673367</v>
      </c>
      <c r="C48" s="33">
        <f>B48*10</f>
        <v>1493.386934673367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1039.8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8281.9511891389193</v>
      </c>
      <c r="C5" s="17">
        <f>IF(ISERROR('Eigen informatie GS &amp; warmtenet'!B58),0,'Eigen informatie GS &amp; warmtenet'!B58)</f>
        <v>0</v>
      </c>
      <c r="D5" s="30">
        <f>SUM(D6:D12)</f>
        <v>7194.3604710908712</v>
      </c>
      <c r="E5" s="17">
        <f>SUM(E6:E12)</f>
        <v>109.48322317332597</v>
      </c>
      <c r="F5" s="17">
        <f>SUM(F6:F12)</f>
        <v>1690.7433886729448</v>
      </c>
      <c r="G5" s="18"/>
      <c r="H5" s="17"/>
      <c r="I5" s="17"/>
      <c r="J5" s="17">
        <f>SUM(J6:J12)</f>
        <v>0</v>
      </c>
      <c r="K5" s="17"/>
      <c r="L5" s="17"/>
      <c r="M5" s="17"/>
      <c r="N5" s="17">
        <f>SUM(N6:N12)</f>
        <v>1061.5787457005301</v>
      </c>
      <c r="O5" s="17">
        <f>B38*B39*B40</f>
        <v>1.5633333333333335</v>
      </c>
      <c r="P5" s="17">
        <f>B46*B47*B48/1000-B46*B47*B48/1000/B49</f>
        <v>0</v>
      </c>
      <c r="R5" s="32"/>
    </row>
    <row r="6" spans="1:18">
      <c r="A6" s="32" t="s">
        <v>54</v>
      </c>
      <c r="B6" s="37">
        <f>B26</f>
        <v>809.95087408154905</v>
      </c>
      <c r="C6" s="33"/>
      <c r="D6" s="37">
        <f>IF(ISERROR(TER_kantoor_gas_kWh/1000),0,TER_kantoor_gas_kWh/1000)*0.902</f>
        <v>592.86972641433374</v>
      </c>
      <c r="E6" s="33">
        <f>$C$26*'E Balans VL '!I12/100/3.6*1000000</f>
        <v>3.1468306223979172</v>
      </c>
      <c r="F6" s="33">
        <f>$C$26*('E Balans VL '!L12+'E Balans VL '!N12)/100/3.6*1000000</f>
        <v>123.18615798243408</v>
      </c>
      <c r="G6" s="34"/>
      <c r="H6" s="33"/>
      <c r="I6" s="33"/>
      <c r="J6" s="33">
        <f>$C$26*('E Balans VL '!D12+'E Balans VL '!E12)/100/3.6*1000000</f>
        <v>0</v>
      </c>
      <c r="K6" s="33"/>
      <c r="L6" s="33"/>
      <c r="M6" s="33"/>
      <c r="N6" s="33">
        <f>$C$26*'E Balans VL '!Y12/100/3.6*1000000</f>
        <v>0.4463799613441029</v>
      </c>
      <c r="O6" s="33"/>
      <c r="P6" s="33"/>
      <c r="R6" s="32"/>
    </row>
    <row r="7" spans="1:18">
      <c r="A7" s="32" t="s">
        <v>53</v>
      </c>
      <c r="B7" s="37">
        <f t="shared" ref="B7:B12" si="0">B27</f>
        <v>418.65000611393799</v>
      </c>
      <c r="C7" s="33"/>
      <c r="D7" s="37">
        <f>IF(ISERROR(TER_horeca_gas_kWh/1000),0,TER_horeca_gas_kWh/1000)*0.902</f>
        <v>433.29009475693869</v>
      </c>
      <c r="E7" s="33">
        <f>$C$27*'E Balans VL '!I9/100/3.6*1000000</f>
        <v>23.582666772865174</v>
      </c>
      <c r="F7" s="33">
        <f>$C$27*('E Balans VL '!L9+'E Balans VL '!N9)/100/3.6*1000000</f>
        <v>120.71359769905141</v>
      </c>
      <c r="G7" s="34"/>
      <c r="H7" s="33"/>
      <c r="I7" s="33"/>
      <c r="J7" s="33">
        <f>$C$27*('E Balans VL '!D9+'E Balans VL '!E9)/100/3.6*1000000</f>
        <v>0</v>
      </c>
      <c r="K7" s="33"/>
      <c r="L7" s="33"/>
      <c r="M7" s="33"/>
      <c r="N7" s="33">
        <f>$C$27*'E Balans VL '!Y9/100/3.6*1000000</f>
        <v>0.11558709117793946</v>
      </c>
      <c r="O7" s="33"/>
      <c r="P7" s="33"/>
      <c r="R7" s="32"/>
    </row>
    <row r="8" spans="1:18">
      <c r="A8" s="6" t="s">
        <v>52</v>
      </c>
      <c r="B8" s="37">
        <f t="shared" si="0"/>
        <v>3366.4669868093197</v>
      </c>
      <c r="C8" s="33"/>
      <c r="D8" s="37">
        <f>IF(ISERROR(TER_handel_gas_kWh/1000),0,TER_handel_gas_kWh/1000)*0.902</f>
        <v>606.08423635489771</v>
      </c>
      <c r="E8" s="33">
        <f>$C$28*'E Balans VL '!I13/100/3.6*1000000</f>
        <v>48.522210566268363</v>
      </c>
      <c r="F8" s="33">
        <f>$C$28*('E Balans VL '!L13+'E Balans VL '!N13)/100/3.6*1000000</f>
        <v>584.83371533457807</v>
      </c>
      <c r="G8" s="34"/>
      <c r="H8" s="33"/>
      <c r="I8" s="33"/>
      <c r="J8" s="33">
        <f>$C$28*('E Balans VL '!D13+'E Balans VL '!E13)/100/3.6*1000000</f>
        <v>0</v>
      </c>
      <c r="K8" s="33"/>
      <c r="L8" s="33"/>
      <c r="M8" s="33"/>
      <c r="N8" s="33">
        <f>$C$28*'E Balans VL '!Y13/100/3.6*1000000</f>
        <v>10.086309855305863</v>
      </c>
      <c r="O8" s="33"/>
      <c r="P8" s="33"/>
      <c r="R8" s="32"/>
    </row>
    <row r="9" spans="1:18">
      <c r="A9" s="32" t="s">
        <v>51</v>
      </c>
      <c r="B9" s="37">
        <f t="shared" si="0"/>
        <v>51.565330329803899</v>
      </c>
      <c r="C9" s="33"/>
      <c r="D9" s="37">
        <f>IF(ISERROR(TER_gezond_gas_kWh/1000),0,TER_gezond_gas_kWh/1000)*0.902</f>
        <v>0</v>
      </c>
      <c r="E9" s="33">
        <f>$C$29*'E Balans VL '!I10/100/3.6*1000000</f>
        <v>5.5085138035029055E-2</v>
      </c>
      <c r="F9" s="33">
        <f>$C$29*('E Balans VL '!L10+'E Balans VL '!N10)/100/3.6*1000000</f>
        <v>8.4118725059866364</v>
      </c>
      <c r="G9" s="34"/>
      <c r="H9" s="33"/>
      <c r="I9" s="33"/>
      <c r="J9" s="33">
        <f>$C$29*('E Balans VL '!D10+'E Balans VL '!E10)/100/3.6*1000000</f>
        <v>0</v>
      </c>
      <c r="K9" s="33"/>
      <c r="L9" s="33"/>
      <c r="M9" s="33"/>
      <c r="N9" s="33">
        <f>$C$29*'E Balans VL '!Y10/100/3.6*1000000</f>
        <v>0.53083565315483461</v>
      </c>
      <c r="O9" s="33"/>
      <c r="P9" s="33"/>
      <c r="R9" s="32"/>
    </row>
    <row r="10" spans="1:18">
      <c r="A10" s="32" t="s">
        <v>50</v>
      </c>
      <c r="B10" s="37">
        <f t="shared" si="0"/>
        <v>1241.8626312460599</v>
      </c>
      <c r="C10" s="33"/>
      <c r="D10" s="37">
        <f>IF(ISERROR(TER_ander_gas_kWh/1000),0,TER_ander_gas_kWh/1000)*0.902</f>
        <v>923.08241629073586</v>
      </c>
      <c r="E10" s="33">
        <f>$C$30*'E Balans VL '!I14/100/3.6*1000000</f>
        <v>5.7111373397715841</v>
      </c>
      <c r="F10" s="33">
        <f>$C$30*('E Balans VL '!L14+'E Balans VL '!N14)/100/3.6*1000000</f>
        <v>372.22540245253441</v>
      </c>
      <c r="G10" s="34"/>
      <c r="H10" s="33"/>
      <c r="I10" s="33"/>
      <c r="J10" s="33">
        <f>$C$30*('E Balans VL '!D14+'E Balans VL '!E14)/100/3.6*1000000</f>
        <v>0</v>
      </c>
      <c r="K10" s="33"/>
      <c r="L10" s="33"/>
      <c r="M10" s="33"/>
      <c r="N10" s="33">
        <f>$C$30*'E Balans VL '!Y14/100/3.6*1000000</f>
        <v>864.41836765414803</v>
      </c>
      <c r="O10" s="33"/>
      <c r="P10" s="33"/>
      <c r="R10" s="32"/>
    </row>
    <row r="11" spans="1:18">
      <c r="A11" s="32" t="s">
        <v>55</v>
      </c>
      <c r="B11" s="37">
        <f t="shared" si="0"/>
        <v>50.538957043499195</v>
      </c>
      <c r="C11" s="33"/>
      <c r="D11" s="37">
        <f>IF(ISERROR(TER_onderwijs_gas_kWh/1000),0,TER_onderwijs_gas_kWh/1000)*0.902</f>
        <v>180.3319022484574</v>
      </c>
      <c r="E11" s="33">
        <f>$C$31*'E Balans VL '!I11/100/3.6*1000000</f>
        <v>4.6881528974338969E-2</v>
      </c>
      <c r="F11" s="33">
        <f>$C$31*('E Balans VL '!L11+'E Balans VL '!N11)/100/3.6*1000000</f>
        <v>17.75317405496498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2342.9164035147496</v>
      </c>
      <c r="C12" s="33"/>
      <c r="D12" s="37">
        <f>IF(ISERROR(TER_rest_gas_kWh/1000),0,TER_rest_gas_kWh/1000)*0.902</f>
        <v>4458.7020950255082</v>
      </c>
      <c r="E12" s="33">
        <f>$C$32*'E Balans VL '!I8/100/3.6*1000000</f>
        <v>28.418411205013562</v>
      </c>
      <c r="F12" s="33">
        <f>$C$32*('E Balans VL '!L8+'E Balans VL '!N8)/100/3.6*1000000</f>
        <v>463.61946864339535</v>
      </c>
      <c r="G12" s="34"/>
      <c r="H12" s="33"/>
      <c r="I12" s="33"/>
      <c r="J12" s="33">
        <f>$C$32*('E Balans VL '!D8+'E Balans VL '!E8)/100/3.6*1000000</f>
        <v>0</v>
      </c>
      <c r="K12" s="33"/>
      <c r="L12" s="33"/>
      <c r="M12" s="33"/>
      <c r="N12" s="33">
        <f>$C$32*'E Balans VL '!Y8/100/3.6*1000000</f>
        <v>185.9812654853994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8281.9511891389193</v>
      </c>
      <c r="C16" s="21">
        <f t="shared" ca="1" si="1"/>
        <v>0</v>
      </c>
      <c r="D16" s="21">
        <f t="shared" ca="1" si="1"/>
        <v>7194.3604710908712</v>
      </c>
      <c r="E16" s="21">
        <f t="shared" si="1"/>
        <v>109.48322317332597</v>
      </c>
      <c r="F16" s="21">
        <f t="shared" ca="1" si="1"/>
        <v>1690.7433886729448</v>
      </c>
      <c r="G16" s="21">
        <f t="shared" si="1"/>
        <v>0</v>
      </c>
      <c r="H16" s="21">
        <f t="shared" si="1"/>
        <v>0</v>
      </c>
      <c r="I16" s="21">
        <f t="shared" si="1"/>
        <v>0</v>
      </c>
      <c r="J16" s="21">
        <f t="shared" si="1"/>
        <v>0</v>
      </c>
      <c r="K16" s="21">
        <f t="shared" si="1"/>
        <v>0</v>
      </c>
      <c r="L16" s="21">
        <f t="shared" ca="1" si="1"/>
        <v>0</v>
      </c>
      <c r="M16" s="21">
        <f t="shared" si="1"/>
        <v>0</v>
      </c>
      <c r="N16" s="21">
        <f t="shared" ca="1" si="1"/>
        <v>1061.5787457005301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0.21030905232721411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1741.7693060080501</v>
      </c>
      <c r="C20" s="23">
        <f t="shared" ref="C20:P20" ca="1" si="2">C16*C18</f>
        <v>0</v>
      </c>
      <c r="D20" s="23">
        <f t="shared" ca="1" si="2"/>
        <v>1453.2608151603561</v>
      </c>
      <c r="E20" s="23">
        <f t="shared" si="2"/>
        <v>24.852691660344995</v>
      </c>
      <c r="F20" s="23">
        <f t="shared" ca="1" si="2"/>
        <v>451.42848477567628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809.95087408154905</v>
      </c>
      <c r="C26" s="39">
        <f>IF(ISERROR(B26*3.6/1000000/'E Balans VL '!Z12*100),0,B26*3.6/1000000/'E Balans VL '!Z12*100)</f>
        <v>1.7203757763000156E-2</v>
      </c>
      <c r="D26" s="239" t="s">
        <v>692</v>
      </c>
      <c r="F26" s="6"/>
    </row>
    <row r="27" spans="1:18">
      <c r="A27" s="233" t="s">
        <v>53</v>
      </c>
      <c r="B27" s="33">
        <f>IF(ISERROR(TER_horeca_ele_kWh/1000),0,TER_horeca_ele_kWh/1000)</f>
        <v>418.65000611393799</v>
      </c>
      <c r="C27" s="39">
        <f>IF(ISERROR(B27*3.6/1000000/'E Balans VL '!Z9*100),0,B27*3.6/1000000/'E Balans VL '!Z9*100)</f>
        <v>3.2552587586674446E-2</v>
      </c>
      <c r="D27" s="239" t="s">
        <v>692</v>
      </c>
      <c r="F27" s="6"/>
    </row>
    <row r="28" spans="1:18">
      <c r="A28" s="173" t="s">
        <v>52</v>
      </c>
      <c r="B28" s="33">
        <f>IF(ISERROR(TER_handel_ele_kWh/1000),0,TER_handel_ele_kWh/1000)</f>
        <v>3366.4669868093197</v>
      </c>
      <c r="C28" s="39">
        <f>IF(ISERROR(B28*3.6/1000000/'E Balans VL '!Z13*100),0,B28*3.6/1000000/'E Balans VL '!Z13*100)</f>
        <v>9.6318582427925598E-2</v>
      </c>
      <c r="D28" s="239" t="s">
        <v>692</v>
      </c>
      <c r="F28" s="6"/>
    </row>
    <row r="29" spans="1:18">
      <c r="A29" s="233" t="s">
        <v>51</v>
      </c>
      <c r="B29" s="33">
        <f>IF(ISERROR(TER_gezond_ele_kWh/1000),0,TER_gezond_ele_kWh/1000)</f>
        <v>51.565330329803899</v>
      </c>
      <c r="C29" s="39">
        <f>IF(ISERROR(B29*3.6/1000000/'E Balans VL '!Z10*100),0,B29*3.6/1000000/'E Balans VL '!Z10*100)</f>
        <v>5.6218192405190293E-3</v>
      </c>
      <c r="D29" s="239" t="s">
        <v>692</v>
      </c>
      <c r="F29" s="6"/>
    </row>
    <row r="30" spans="1:18">
      <c r="A30" s="233" t="s">
        <v>50</v>
      </c>
      <c r="B30" s="33">
        <f>IF(ISERROR(TER_ander_ele_kWh/1000),0,TER_ander_ele_kWh/1000)</f>
        <v>1241.8626312460599</v>
      </c>
      <c r="C30" s="39">
        <f>IF(ISERROR(B30*3.6/1000000/'E Balans VL '!Z14*100),0,B30*3.6/1000000/'E Balans VL '!Z14*100)</f>
        <v>9.0876690255988254E-2</v>
      </c>
      <c r="D30" s="239" t="s">
        <v>692</v>
      </c>
      <c r="F30" s="6"/>
    </row>
    <row r="31" spans="1:18">
      <c r="A31" s="233" t="s">
        <v>55</v>
      </c>
      <c r="B31" s="33">
        <f>IF(ISERROR(TER_onderwijs_ele_kWh/1000),0,TER_onderwijs_ele_kWh/1000)</f>
        <v>50.538957043499195</v>
      </c>
      <c r="C31" s="39">
        <f>IF(ISERROR(B31*3.6/1000000/'E Balans VL '!Z11*100),0,B31*3.6/1000000/'E Balans VL '!Z11*100)</f>
        <v>1.0150787051381449E-2</v>
      </c>
      <c r="D31" s="239" t="s">
        <v>692</v>
      </c>
    </row>
    <row r="32" spans="1:18">
      <c r="A32" s="233" t="s">
        <v>260</v>
      </c>
      <c r="B32" s="33">
        <f>IF(ISERROR(TER_rest_ele_kWh/1000),0,TER_rest_ele_kWh/1000)</f>
        <v>2342.9164035147496</v>
      </c>
      <c r="C32" s="39">
        <f>IF(ISERROR(B32*3.6/1000000/'E Balans VL '!Z8*100),0,B32*3.6/1000000/'E Balans VL '!Z8*100)</f>
        <v>1.9093346844922646E-2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19290.236928929266</v>
      </c>
      <c r="C5" s="17">
        <f>IF(ISERROR('Eigen informatie GS &amp; warmtenet'!B59),0,'Eigen informatie GS &amp; warmtenet'!B59)</f>
        <v>0</v>
      </c>
      <c r="D5" s="30">
        <f>SUM(D6:D15)</f>
        <v>1588.479207031713</v>
      </c>
      <c r="E5" s="17">
        <f>SUM(E6:E15)</f>
        <v>1367.4531761714761</v>
      </c>
      <c r="F5" s="17">
        <f>SUM(F6:F15)</f>
        <v>5196.1333888877643</v>
      </c>
      <c r="G5" s="18"/>
      <c r="H5" s="17"/>
      <c r="I5" s="17"/>
      <c r="J5" s="17">
        <f>SUM(J6:J15)</f>
        <v>39.978348307608066</v>
      </c>
      <c r="K5" s="17"/>
      <c r="L5" s="17"/>
      <c r="M5" s="17"/>
      <c r="N5" s="17">
        <f>SUM(N6:N15)</f>
        <v>3706.7177063515378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136.95012435028099</v>
      </c>
      <c r="C8" s="33"/>
      <c r="D8" s="37">
        <f>IF( ISERROR(IND_metaal_Gas_kWH/1000),0,IND_metaal_Gas_kWH/1000)*0.902</f>
        <v>0</v>
      </c>
      <c r="E8" s="33">
        <f>C30*'E Balans VL '!I18/100/3.6*1000000</f>
        <v>3.9337216190442499</v>
      </c>
      <c r="F8" s="33">
        <f>C30*'E Balans VL '!L18/100/3.6*1000000+C30*'E Balans VL '!N18/100/3.6*1000000</f>
        <v>35.125072966430444</v>
      </c>
      <c r="G8" s="34"/>
      <c r="H8" s="33"/>
      <c r="I8" s="33"/>
      <c r="J8" s="40">
        <f>C30*'E Balans VL '!D18/100/3.6*1000000+C30*'E Balans VL '!E18/100/3.6*1000000</f>
        <v>0</v>
      </c>
      <c r="K8" s="33"/>
      <c r="L8" s="33"/>
      <c r="M8" s="33"/>
      <c r="N8" s="33">
        <f>C30*'E Balans VL '!Y18/100/3.6*1000000</f>
        <v>3.7184754309206163</v>
      </c>
      <c r="O8" s="33"/>
      <c r="P8" s="33"/>
      <c r="R8" s="32"/>
    </row>
    <row r="9" spans="1:18">
      <c r="A9" s="6" t="s">
        <v>33</v>
      </c>
      <c r="B9" s="37">
        <f t="shared" si="0"/>
        <v>1761.97870838672</v>
      </c>
      <c r="C9" s="33"/>
      <c r="D9" s="37">
        <f>IF( ISERROR(IND_andere_gas_kWh/1000),0,IND_andere_gas_kWh/1000)*0.902</f>
        <v>520.58128128103033</v>
      </c>
      <c r="E9" s="33">
        <f>C31*'E Balans VL '!I19/100/3.6*1000000</f>
        <v>476.92431451851741</v>
      </c>
      <c r="F9" s="33">
        <f>C31*'E Balans VL '!L19/100/3.6*1000000+C31*'E Balans VL '!N19/100/3.6*1000000</f>
        <v>1173.6642760818052</v>
      </c>
      <c r="G9" s="34"/>
      <c r="H9" s="33"/>
      <c r="I9" s="33"/>
      <c r="J9" s="40">
        <f>C31*'E Balans VL '!D19/100/3.6*1000000+C31*'E Balans VL '!E19/100/3.6*1000000</f>
        <v>0</v>
      </c>
      <c r="K9" s="33"/>
      <c r="L9" s="33"/>
      <c r="M9" s="33"/>
      <c r="N9" s="33">
        <f>C31*'E Balans VL '!Y19/100/3.6*1000000</f>
        <v>575.25677931617167</v>
      </c>
      <c r="O9" s="33"/>
      <c r="P9" s="33"/>
      <c r="R9" s="32"/>
    </row>
    <row r="10" spans="1:18">
      <c r="A10" s="6" t="s">
        <v>41</v>
      </c>
      <c r="B10" s="37">
        <f t="shared" si="0"/>
        <v>179.31143575412099</v>
      </c>
      <c r="C10" s="33"/>
      <c r="D10" s="37">
        <f>IF( ISERROR(IND_voed_gas_kWh/1000),0,IND_voed_gas_kWh/1000)*0.902</f>
        <v>490.23153316478982</v>
      </c>
      <c r="E10" s="33">
        <f>C32*'E Balans VL '!I20/100/3.6*1000000</f>
        <v>14.625052657410068</v>
      </c>
      <c r="F10" s="33">
        <f>C32*'E Balans VL '!L20/100/3.6*1000000+C32*'E Balans VL '!N20/100/3.6*1000000</f>
        <v>267.36961926831816</v>
      </c>
      <c r="G10" s="34"/>
      <c r="H10" s="33"/>
      <c r="I10" s="33"/>
      <c r="J10" s="40">
        <f>C32*'E Balans VL '!D20/100/3.6*1000000+C32*'E Balans VL '!E20/100/3.6*1000000</f>
        <v>2.3720726401425508E-3</v>
      </c>
      <c r="K10" s="33"/>
      <c r="L10" s="33"/>
      <c r="M10" s="33"/>
      <c r="N10" s="33">
        <f>C32*'E Balans VL '!Y20/100/3.6*1000000</f>
        <v>52.675372606243393</v>
      </c>
      <c r="O10" s="33"/>
      <c r="P10" s="33"/>
      <c r="R10" s="32"/>
    </row>
    <row r="11" spans="1:18">
      <c r="A11" s="6" t="s">
        <v>40</v>
      </c>
      <c r="B11" s="37">
        <f t="shared" si="0"/>
        <v>1278.44351858045</v>
      </c>
      <c r="C11" s="33"/>
      <c r="D11" s="37">
        <f>IF( ISERROR(IND_textiel_gas_kWh/1000),0,IND_textiel_gas_kWh/1000)*0.902</f>
        <v>0</v>
      </c>
      <c r="E11" s="33">
        <f>C33*'E Balans VL '!I21/100/3.6*1000000</f>
        <v>0.25341366196596304</v>
      </c>
      <c r="F11" s="33">
        <f>C33*'E Balans VL '!L21/100/3.6*1000000+C33*'E Balans VL '!N21/100/3.6*1000000</f>
        <v>47.086617236347109</v>
      </c>
      <c r="G11" s="34"/>
      <c r="H11" s="33"/>
      <c r="I11" s="33"/>
      <c r="J11" s="40">
        <f>C33*'E Balans VL '!D21/100/3.6*1000000+C33*'E Balans VL '!E21/100/3.6*1000000</f>
        <v>0</v>
      </c>
      <c r="K11" s="33"/>
      <c r="L11" s="33"/>
      <c r="M11" s="33"/>
      <c r="N11" s="33">
        <f>C33*'E Balans VL '!Y21/100/3.6*1000000</f>
        <v>5.944439628756407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336.59824474519399</v>
      </c>
      <c r="C14" s="33"/>
      <c r="D14" s="37">
        <f>IF( ISERROR(IND_chemie_gas_kWh/1000),0,IND_chemie_gas_kWh/1000)*0.902</f>
        <v>0</v>
      </c>
      <c r="E14" s="33">
        <f>C36*'E Balans VL '!I24/100/3.6*1000000</f>
        <v>1.5911789463532433</v>
      </c>
      <c r="F14" s="33">
        <f>C36*'E Balans VL '!L24/100/3.6*1000000+C36*'E Balans VL '!N24/100/3.6*1000000</f>
        <v>6.3615261528554301</v>
      </c>
      <c r="G14" s="34"/>
      <c r="H14" s="33"/>
      <c r="I14" s="33"/>
      <c r="J14" s="40">
        <f>C36*'E Balans VL '!D24/100/3.6*1000000+C36*'E Balans VL '!E24/100/3.6*1000000</f>
        <v>0</v>
      </c>
      <c r="K14" s="33"/>
      <c r="L14" s="33"/>
      <c r="M14" s="33"/>
      <c r="N14" s="33">
        <f>C36*'E Balans VL '!Y24/100/3.6*1000000</f>
        <v>8.171466660064322</v>
      </c>
      <c r="O14" s="33"/>
      <c r="P14" s="33"/>
      <c r="R14" s="32"/>
    </row>
    <row r="15" spans="1:18">
      <c r="A15" s="6" t="s">
        <v>270</v>
      </c>
      <c r="B15" s="37">
        <f t="shared" si="0"/>
        <v>15596.9548971125</v>
      </c>
      <c r="C15" s="33"/>
      <c r="D15" s="37">
        <f>IF( ISERROR(IND_rest_gas_kWh/1000),0,IND_rest_gas_kWh/1000)*0.902</f>
        <v>577.66639258589305</v>
      </c>
      <c r="E15" s="33">
        <f>C37*'E Balans VL '!I15/100/3.6*1000000</f>
        <v>870.12549476818515</v>
      </c>
      <c r="F15" s="33">
        <f>C37*'E Balans VL '!L15/100/3.6*1000000+C37*'E Balans VL '!N15/100/3.6*1000000</f>
        <v>3666.526277182008</v>
      </c>
      <c r="G15" s="34"/>
      <c r="H15" s="33"/>
      <c r="I15" s="33"/>
      <c r="J15" s="40">
        <f>C37*'E Balans VL '!D15/100/3.6*1000000+C37*'E Balans VL '!E15/100/3.6*1000000</f>
        <v>39.975976234967924</v>
      </c>
      <c r="K15" s="33"/>
      <c r="L15" s="33"/>
      <c r="M15" s="33"/>
      <c r="N15" s="33">
        <f>C37*'E Balans VL '!Y15/100/3.6*1000000</f>
        <v>3060.9511727093814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19290.236928929266</v>
      </c>
      <c r="C18" s="21">
        <f>C5+C16</f>
        <v>0</v>
      </c>
      <c r="D18" s="21">
        <f>MAX((D5+D16),0)</f>
        <v>1588.479207031713</v>
      </c>
      <c r="E18" s="21">
        <f>MAX((E5+E16),0)</f>
        <v>1367.4531761714761</v>
      </c>
      <c r="F18" s="21">
        <f>MAX((F5+F16),0)</f>
        <v>5196.1333888877643</v>
      </c>
      <c r="G18" s="21"/>
      <c r="H18" s="21"/>
      <c r="I18" s="21"/>
      <c r="J18" s="21">
        <f>MAX((J5+J16),0)</f>
        <v>39.978348307608066</v>
      </c>
      <c r="K18" s="21"/>
      <c r="L18" s="21">
        <f>MAX((L5+L16),0)</f>
        <v>0</v>
      </c>
      <c r="M18" s="21"/>
      <c r="N18" s="21">
        <f>MAX((N5+N16),0)</f>
        <v>3706.7177063515378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0.21030905232721411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4056.9114476905429</v>
      </c>
      <c r="C22" s="23">
        <f ca="1">C18*C20</f>
        <v>0</v>
      </c>
      <c r="D22" s="23">
        <f>D18*D20</f>
        <v>320.87279982040604</v>
      </c>
      <c r="E22" s="23">
        <f>E18*E20</f>
        <v>310.41187099092508</v>
      </c>
      <c r="F22" s="23">
        <f>F18*F20</f>
        <v>1387.3676148330333</v>
      </c>
      <c r="G22" s="23"/>
      <c r="H22" s="23"/>
      <c r="I22" s="23"/>
      <c r="J22" s="23">
        <f>J18*J20</f>
        <v>14.152335300893254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136.95012435028099</v>
      </c>
      <c r="C30" s="39">
        <f>IF(ISERROR(B30*3.6/1000000/'E Balans VL '!Z18*100),0,B30*3.6/1000000/'E Balans VL '!Z18*100)</f>
        <v>1.3475542639640964E-2</v>
      </c>
      <c r="D30" s="239" t="s">
        <v>692</v>
      </c>
    </row>
    <row r="31" spans="1:18">
      <c r="A31" s="6" t="s">
        <v>33</v>
      </c>
      <c r="B31" s="37">
        <f>IF( ISERROR(IND_ander_ele_kWh/1000),0,IND_ander_ele_kWh/1000)</f>
        <v>1761.97870838672</v>
      </c>
      <c r="C31" s="39">
        <f>IF(ISERROR(B31*3.6/1000000/'E Balans VL '!Z19*100),0,B31*3.6/1000000/'E Balans VL '!Z19*100)</f>
        <v>7.6732767233671229E-2</v>
      </c>
      <c r="D31" s="239" t="s">
        <v>692</v>
      </c>
    </row>
    <row r="32" spans="1:18">
      <c r="A32" s="173" t="s">
        <v>41</v>
      </c>
      <c r="B32" s="37">
        <f>IF( ISERROR(IND_voed_ele_kWh/1000),0,IND_voed_ele_kWh/1000)</f>
        <v>179.31143575412099</v>
      </c>
      <c r="C32" s="39">
        <f>IF(ISERROR(B32*3.6/1000000/'E Balans VL '!Z20*100),0,B32*3.6/1000000/'E Balans VL '!Z20*100)</f>
        <v>3.4021758982122896E-2</v>
      </c>
      <c r="D32" s="239" t="s">
        <v>692</v>
      </c>
    </row>
    <row r="33" spans="1:5">
      <c r="A33" s="173" t="s">
        <v>40</v>
      </c>
      <c r="B33" s="37">
        <f>IF( ISERROR(IND_textiel_ele_kWh/1000),0,IND_textiel_ele_kWh/1000)</f>
        <v>1278.44351858045</v>
      </c>
      <c r="C33" s="39">
        <f>IF(ISERROR(B33*3.6/1000000/'E Balans VL '!Z21*100),0,B33*3.6/1000000/'E Balans VL '!Z21*100)</f>
        <v>7.2992641597390912E-2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336.59824474519399</v>
      </c>
      <c r="C36" s="39">
        <f>IF(ISERROR(B36*3.6/1000000/'E Balans VL '!Z24*100),0,B36*3.6/1000000/'E Balans VL '!Z24*100)</f>
        <v>9.8094674803113728E-3</v>
      </c>
      <c r="D36" s="239" t="s">
        <v>692</v>
      </c>
    </row>
    <row r="37" spans="1:5">
      <c r="A37" s="173" t="s">
        <v>270</v>
      </c>
      <c r="B37" s="37">
        <f>IF( ISERROR(IND_rest_ele_kWh/1000),0,IND_rest_ele_kWh/1000)</f>
        <v>15596.9548971125</v>
      </c>
      <c r="C37" s="39">
        <f>IF(ISERROR(B37*3.6/1000000/'E Balans VL '!Z15*100),0,B37*3.6/1000000/'E Balans VL '!Z15*100)</f>
        <v>0.12019369449167197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2416.220249371409</v>
      </c>
      <c r="C5" s="17">
        <f>'Eigen informatie GS &amp; warmtenet'!B60</f>
        <v>0</v>
      </c>
      <c r="D5" s="30">
        <f>IF(ISERROR(SUM(LB_lb_gas_kWh,LB_rest_gas_kWh)/1000),0,SUM(LB_lb_gas_kWh,LB_rest_gas_kWh)/1000)*0.902</f>
        <v>46.386969330171667</v>
      </c>
      <c r="E5" s="17">
        <f>B17*'E Balans VL '!I25/3.6*1000000/100</f>
        <v>30.447487866641897</v>
      </c>
      <c r="F5" s="17">
        <f>B17*('E Balans VL '!L25/3.6*1000000+'E Balans VL '!N25/3.6*1000000)/100</f>
        <v>8336.5651596719472</v>
      </c>
      <c r="G5" s="18"/>
      <c r="H5" s="17"/>
      <c r="I5" s="17"/>
      <c r="J5" s="17">
        <f>('E Balans VL '!D25+'E Balans VL '!E25)/3.6*1000000*landbouw!B17/100</f>
        <v>363.37205888305238</v>
      </c>
      <c r="K5" s="17"/>
      <c r="L5" s="17">
        <f>L6*(-1)</f>
        <v>0</v>
      </c>
      <c r="M5" s="17"/>
      <c r="N5" s="17">
        <f>N6*(-1)</f>
        <v>0</v>
      </c>
      <c r="O5" s="17"/>
      <c r="P5" s="17"/>
      <c r="R5" s="32"/>
    </row>
    <row r="6" spans="1:18">
      <c r="A6" s="16" t="s">
        <v>497</v>
      </c>
      <c r="B6" s="17" t="s">
        <v>211</v>
      </c>
      <c r="C6" s="17">
        <f>'lokale energieproductie'!O92+'lokale energieproductie'!O61</f>
        <v>7637.1428571428569</v>
      </c>
      <c r="D6" s="312">
        <f>('lokale energieproductie'!P61+'lokale energieproductie'!P92)*(-1)</f>
        <v>-15274.285714285716</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2416.220249371409</v>
      </c>
      <c r="C8" s="21">
        <f>C5+C6</f>
        <v>7637.1428571428569</v>
      </c>
      <c r="D8" s="21">
        <f>MAX((D5+D6),0)</f>
        <v>0</v>
      </c>
      <c r="E8" s="21">
        <f>MAX((E5+E6),0)</f>
        <v>30.447487866641897</v>
      </c>
      <c r="F8" s="21">
        <f>MAX((F5+F6),0)</f>
        <v>8336.5651596719472</v>
      </c>
      <c r="G8" s="21"/>
      <c r="H8" s="21"/>
      <c r="I8" s="21"/>
      <c r="J8" s="21">
        <f>MAX((J5+J6),0)</f>
        <v>363.37205888305238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0.21030905232721411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508.15299085912596</v>
      </c>
      <c r="C12" s="23">
        <f ca="1">C8*C10</f>
        <v>1814.9445378151263</v>
      </c>
      <c r="D12" s="23">
        <f>D8*D10</f>
        <v>0</v>
      </c>
      <c r="E12" s="23">
        <f>E8*E10</f>
        <v>6.9115797457277104</v>
      </c>
      <c r="F12" s="23">
        <f>F8*F10</f>
        <v>2225.8628976324098</v>
      </c>
      <c r="G12" s="23"/>
      <c r="H12" s="23"/>
      <c r="I12" s="23"/>
      <c r="J12" s="23">
        <f>J8*J10</f>
        <v>128.63370884460053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0.33698656994555815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363.08553081182822</v>
      </c>
      <c r="C26" s="249">
        <f>B26*'GWP N2O_CH4'!B5</f>
        <v>7624.7961470483924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243.59122618320475</v>
      </c>
      <c r="C27" s="249">
        <f>B27*'GWP N2O_CH4'!B5</f>
        <v>5115.4157498472996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5.5284039074909712</v>
      </c>
      <c r="C28" s="249">
        <f>B28*'GWP N2O_CH4'!B4</f>
        <v>1713.8052113222011</v>
      </c>
      <c r="D28" s="50"/>
    </row>
    <row r="29" spans="1:4">
      <c r="A29" s="41" t="s">
        <v>277</v>
      </c>
      <c r="B29" s="249">
        <f>B34*'ha_N2O bodem landbouw'!B4</f>
        <v>10.191783930365894</v>
      </c>
      <c r="C29" s="249">
        <f>B29*'GWP N2O_CH4'!B4</f>
        <v>3159.4530184134269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2.544786608264979E-3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5.7559632253970564E-6</v>
      </c>
      <c r="C5" s="448" t="s">
        <v>211</v>
      </c>
      <c r="D5" s="433">
        <f>SUM(D6:D11)</f>
        <v>1.0078024756420845E-5</v>
      </c>
      <c r="E5" s="433">
        <f>SUM(E6:E11)</f>
        <v>3.0563130488900467E-4</v>
      </c>
      <c r="F5" s="446" t="s">
        <v>211</v>
      </c>
      <c r="G5" s="433">
        <f>SUM(G6:G11)</f>
        <v>9.6737844514380805E-2</v>
      </c>
      <c r="H5" s="433">
        <f>SUM(H6:H11)</f>
        <v>1.5025262712208588E-2</v>
      </c>
      <c r="I5" s="448" t="s">
        <v>211</v>
      </c>
      <c r="J5" s="448" t="s">
        <v>211</v>
      </c>
      <c r="K5" s="448" t="s">
        <v>211</v>
      </c>
      <c r="L5" s="448" t="s">
        <v>211</v>
      </c>
      <c r="M5" s="433">
        <f>SUM(M6:M11)</f>
        <v>5.0511275318420113E-3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4.0153703845990808E-6</v>
      </c>
      <c r="C6" s="887"/>
      <c r="D6" s="887">
        <f>vkm_2011_GW_PW*SUMIFS(TableVerdeelsleutelVkm[CNG],TableVerdeelsleutelVkm[Voertuigtype],"Lichte voertuigen")*SUMIFS(TableECFTransport[EnergieConsumptieFactor (PJ per km)],TableECFTransport[Index],CONCATENATE($A6,"_CNG_CNG"))</f>
        <v>5.6865497931993469E-6</v>
      </c>
      <c r="E6" s="887">
        <f>vkm_2011_GW_PW*SUMIFS(TableVerdeelsleutelVkm[LPG],TableVerdeelsleutelVkm[Voertuigtype],"Lichte voertuigen")*SUMIFS(TableECFTransport[EnergieConsumptieFactor (PJ per km)],TableECFTransport[Index],CONCATENATE($A6,"_LPG_LPG"))</f>
        <v>1.7859580838824416E-4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3.2098557084800187E-2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8.6010666552024141E-3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1.8413810244735586E-3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3.1733390380632456E-2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1.1274544629717504E-5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1.4320274786244129E-3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1.7405928407979755E-6</v>
      </c>
      <c r="C8" s="887"/>
      <c r="D8" s="436">
        <f>vkm_2011_NGW_PW*SUMIFS(TableVerdeelsleutelVkm[CNG],TableVerdeelsleutelVkm[Voertuigtype],"Lichte voertuigen")*SUMIFS(TableECFTransport[EnergieConsumptieFactor (PJ per km)],TableECFTransport[Index],CONCATENATE($A8,"_CNG_CNG"))</f>
        <v>4.3914749632214976E-6</v>
      </c>
      <c r="E8" s="436">
        <f>vkm_2011_NGW_PW*SUMIFS(TableVerdeelsleutelVkm[LPG],TableVerdeelsleutelVkm[Voertuigtype],"Lichte voertuigen")*SUMIFS(TableECFTransport[EnergieConsumptieFactor (PJ per km)],TableECFTransport[Index],CONCATENATE($A8,"_LPG_LPG"))</f>
        <v>1.2703549650076049E-4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2.153374851965615E-2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6.4090981121575552E-3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1.2645398814361184E-3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1.1372148529292022E-2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3.8234002189037709E-6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5.1317914730792107E-4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1.5988786737214047</v>
      </c>
      <c r="C14" s="21"/>
      <c r="D14" s="21">
        <f t="shared" ref="D14:M14" si="0">((D5)*10^9/3600)+D12</f>
        <v>2.7994513212280125</v>
      </c>
      <c r="E14" s="21">
        <f t="shared" si="0"/>
        <v>84.897584691390193</v>
      </c>
      <c r="F14" s="21"/>
      <c r="G14" s="21">
        <f t="shared" si="0"/>
        <v>26871.623476216893</v>
      </c>
      <c r="H14" s="21">
        <f t="shared" si="0"/>
        <v>4173.6840867246074</v>
      </c>
      <c r="I14" s="21"/>
      <c r="J14" s="21"/>
      <c r="K14" s="21"/>
      <c r="L14" s="21"/>
      <c r="M14" s="21">
        <f t="shared" si="0"/>
        <v>1403.0909810672254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0.21030905232721411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0.33625865865654159</v>
      </c>
      <c r="C18" s="23"/>
      <c r="D18" s="23">
        <f t="shared" ref="D18:M18" si="1">D14*D16</f>
        <v>0.56548916688805861</v>
      </c>
      <c r="E18" s="23">
        <f t="shared" si="1"/>
        <v>19.271751724945574</v>
      </c>
      <c r="F18" s="23"/>
      <c r="G18" s="23">
        <f t="shared" si="1"/>
        <v>7174.7234681499112</v>
      </c>
      <c r="H18" s="23">
        <f t="shared" si="1"/>
        <v>1039.2473375944273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5.2792262673899263E-4</v>
      </c>
      <c r="H50" s="323">
        <f t="shared" si="2"/>
        <v>0</v>
      </c>
      <c r="I50" s="323">
        <f t="shared" si="2"/>
        <v>0</v>
      </c>
      <c r="J50" s="323">
        <f t="shared" si="2"/>
        <v>0</v>
      </c>
      <c r="K50" s="323">
        <f t="shared" si="2"/>
        <v>0</v>
      </c>
      <c r="L50" s="323">
        <f t="shared" si="2"/>
        <v>0</v>
      </c>
      <c r="M50" s="323">
        <f t="shared" si="2"/>
        <v>2.3478010465682264E-5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5.2792262673899263E-4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2.3478010465682264E-5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146.64517409416462</v>
      </c>
      <c r="H54" s="21">
        <f t="shared" si="3"/>
        <v>0</v>
      </c>
      <c r="I54" s="21">
        <f t="shared" si="3"/>
        <v>0</v>
      </c>
      <c r="J54" s="21">
        <f t="shared" si="3"/>
        <v>0</v>
      </c>
      <c r="K54" s="21">
        <f t="shared" si="3"/>
        <v>0</v>
      </c>
      <c r="L54" s="21">
        <f t="shared" si="3"/>
        <v>0</v>
      </c>
      <c r="M54" s="21">
        <f t="shared" si="3"/>
        <v>6.5216695738006285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0.21030905232721411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39.154261483141951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8897.2131891389199</v>
      </c>
      <c r="D10" s="690">
        <f ca="1">tertiair!C16</f>
        <v>0</v>
      </c>
      <c r="E10" s="690">
        <f ca="1">tertiair!D16</f>
        <v>7194.3604710908712</v>
      </c>
      <c r="F10" s="690">
        <f>tertiair!E16</f>
        <v>109.48322317332597</v>
      </c>
      <c r="G10" s="690">
        <f ca="1">tertiair!F16</f>
        <v>1690.7433886729448</v>
      </c>
      <c r="H10" s="690">
        <f>tertiair!G16</f>
        <v>0</v>
      </c>
      <c r="I10" s="690">
        <f>tertiair!H16</f>
        <v>0</v>
      </c>
      <c r="J10" s="690">
        <f>tertiair!I16</f>
        <v>0</v>
      </c>
      <c r="K10" s="690">
        <f>tertiair!J16</f>
        <v>0</v>
      </c>
      <c r="L10" s="690">
        <f>tertiair!K16</f>
        <v>0</v>
      </c>
      <c r="M10" s="690">
        <f ca="1">tertiair!L16</f>
        <v>0</v>
      </c>
      <c r="N10" s="690">
        <f>tertiair!M16</f>
        <v>0</v>
      </c>
      <c r="O10" s="690">
        <f ca="1">tertiair!N16</f>
        <v>1061.5787457005301</v>
      </c>
      <c r="P10" s="690">
        <f>tertiair!O16</f>
        <v>1.5633333333333335</v>
      </c>
      <c r="Q10" s="691">
        <f>tertiair!P16</f>
        <v>0</v>
      </c>
      <c r="R10" s="693">
        <f ca="1">SUM(C10:Q10)</f>
        <v>18954.942351109923</v>
      </c>
      <c r="S10" s="67"/>
    </row>
    <row r="11" spans="1:19" s="458" customFormat="1">
      <c r="A11" s="805" t="s">
        <v>225</v>
      </c>
      <c r="B11" s="810"/>
      <c r="C11" s="690">
        <f>huishoudens!B8</f>
        <v>14796.5978719372</v>
      </c>
      <c r="D11" s="690">
        <f>huishoudens!C8</f>
        <v>0</v>
      </c>
      <c r="E11" s="690">
        <f>huishoudens!D8</f>
        <v>22566.900182551028</v>
      </c>
      <c r="F11" s="690">
        <f>huishoudens!E8</f>
        <v>2817.5087801346981</v>
      </c>
      <c r="G11" s="690">
        <f>huishoudens!F8</f>
        <v>26293.297108865514</v>
      </c>
      <c r="H11" s="690">
        <f>huishoudens!G8</f>
        <v>0</v>
      </c>
      <c r="I11" s="690">
        <f>huishoudens!H8</f>
        <v>0</v>
      </c>
      <c r="J11" s="690">
        <f>huishoudens!I8</f>
        <v>0</v>
      </c>
      <c r="K11" s="690">
        <f>huishoudens!J8</f>
        <v>0</v>
      </c>
      <c r="L11" s="690">
        <f>huishoudens!K8</f>
        <v>0</v>
      </c>
      <c r="M11" s="690">
        <f>huishoudens!L8</f>
        <v>0</v>
      </c>
      <c r="N11" s="690">
        <f>huishoudens!M8</f>
        <v>0</v>
      </c>
      <c r="O11" s="690">
        <f>huishoudens!N8</f>
        <v>11666.194752819289</v>
      </c>
      <c r="P11" s="690">
        <f>huishoudens!O8</f>
        <v>128.19333333333336</v>
      </c>
      <c r="Q11" s="691">
        <f>huishoudens!P8</f>
        <v>286</v>
      </c>
      <c r="R11" s="693">
        <f>SUM(C11:Q11)</f>
        <v>78554.692029641054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19290.236928929266</v>
      </c>
      <c r="D13" s="690">
        <f>industrie!C18</f>
        <v>0</v>
      </c>
      <c r="E13" s="690">
        <f>industrie!D18</f>
        <v>1588.479207031713</v>
      </c>
      <c r="F13" s="690">
        <f>industrie!E18</f>
        <v>1367.4531761714761</v>
      </c>
      <c r="G13" s="690">
        <f>industrie!F18</f>
        <v>5196.1333888877643</v>
      </c>
      <c r="H13" s="690">
        <f>industrie!G18</f>
        <v>0</v>
      </c>
      <c r="I13" s="690">
        <f>industrie!H18</f>
        <v>0</v>
      </c>
      <c r="J13" s="690">
        <f>industrie!I18</f>
        <v>0</v>
      </c>
      <c r="K13" s="690">
        <f>industrie!J18</f>
        <v>39.978348307608066</v>
      </c>
      <c r="L13" s="690">
        <f>industrie!K18</f>
        <v>0</v>
      </c>
      <c r="M13" s="690">
        <f>industrie!L18</f>
        <v>0</v>
      </c>
      <c r="N13" s="690">
        <f>industrie!M18</f>
        <v>0</v>
      </c>
      <c r="O13" s="690">
        <f>industrie!N18</f>
        <v>3706.7177063515378</v>
      </c>
      <c r="P13" s="690">
        <f>industrie!O18</f>
        <v>0</v>
      </c>
      <c r="Q13" s="691">
        <f>industrie!P18</f>
        <v>0</v>
      </c>
      <c r="R13" s="693">
        <f>SUM(C13:Q13)</f>
        <v>31188.998755679364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42984.047990005391</v>
      </c>
      <c r="D16" s="725">
        <f t="shared" ref="D16:R16" ca="1" si="0">SUM(D9:D15)</f>
        <v>0</v>
      </c>
      <c r="E16" s="725">
        <f t="shared" ca="1" si="0"/>
        <v>31349.73986067361</v>
      </c>
      <c r="F16" s="725">
        <f t="shared" si="0"/>
        <v>4294.4451794795004</v>
      </c>
      <c r="G16" s="725">
        <f t="shared" ca="1" si="0"/>
        <v>33180.173886426222</v>
      </c>
      <c r="H16" s="725">
        <f t="shared" si="0"/>
        <v>0</v>
      </c>
      <c r="I16" s="725">
        <f t="shared" si="0"/>
        <v>0</v>
      </c>
      <c r="J16" s="725">
        <f t="shared" si="0"/>
        <v>0</v>
      </c>
      <c r="K16" s="725">
        <f t="shared" si="0"/>
        <v>39.978348307608066</v>
      </c>
      <c r="L16" s="725">
        <f t="shared" si="0"/>
        <v>0</v>
      </c>
      <c r="M16" s="725">
        <f t="shared" ca="1" si="0"/>
        <v>0</v>
      </c>
      <c r="N16" s="725">
        <f t="shared" si="0"/>
        <v>0</v>
      </c>
      <c r="O16" s="725">
        <f t="shared" ca="1" si="0"/>
        <v>16434.491204871356</v>
      </c>
      <c r="P16" s="725">
        <f t="shared" si="0"/>
        <v>129.75666666666669</v>
      </c>
      <c r="Q16" s="725">
        <f t="shared" si="0"/>
        <v>286</v>
      </c>
      <c r="R16" s="725">
        <f t="shared" ca="1" si="0"/>
        <v>128698.63313643033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146.64517409416462</v>
      </c>
      <c r="I19" s="690">
        <f>transport!H54</f>
        <v>0</v>
      </c>
      <c r="J19" s="690">
        <f>transport!I54</f>
        <v>0</v>
      </c>
      <c r="K19" s="690">
        <f>transport!J54</f>
        <v>0</v>
      </c>
      <c r="L19" s="690">
        <f>transport!K54</f>
        <v>0</v>
      </c>
      <c r="M19" s="690">
        <f>transport!L54</f>
        <v>0</v>
      </c>
      <c r="N19" s="690">
        <f>transport!M54</f>
        <v>6.5216695738006285</v>
      </c>
      <c r="O19" s="690">
        <f>transport!N54</f>
        <v>0</v>
      </c>
      <c r="P19" s="690">
        <f>transport!O54</f>
        <v>0</v>
      </c>
      <c r="Q19" s="691">
        <f>transport!P54</f>
        <v>0</v>
      </c>
      <c r="R19" s="693">
        <f>SUM(C19:Q19)</f>
        <v>153.16684366796525</v>
      </c>
      <c r="S19" s="67"/>
    </row>
    <row r="20" spans="1:19" s="458" customFormat="1">
      <c r="A20" s="805" t="s">
        <v>307</v>
      </c>
      <c r="B20" s="810"/>
      <c r="C20" s="690">
        <f>transport!B14</f>
        <v>1.5988786737214047</v>
      </c>
      <c r="D20" s="690">
        <f>transport!C14</f>
        <v>0</v>
      </c>
      <c r="E20" s="690">
        <f>transport!D14</f>
        <v>2.7994513212280125</v>
      </c>
      <c r="F20" s="690">
        <f>transport!E14</f>
        <v>84.897584691390193</v>
      </c>
      <c r="G20" s="690">
        <f>transport!F14</f>
        <v>0</v>
      </c>
      <c r="H20" s="690">
        <f>transport!G14</f>
        <v>26871.623476216893</v>
      </c>
      <c r="I20" s="690">
        <f>transport!H14</f>
        <v>4173.6840867246074</v>
      </c>
      <c r="J20" s="690">
        <f>transport!I14</f>
        <v>0</v>
      </c>
      <c r="K20" s="690">
        <f>transport!J14</f>
        <v>0</v>
      </c>
      <c r="L20" s="690">
        <f>transport!K14</f>
        <v>0</v>
      </c>
      <c r="M20" s="690">
        <f>transport!L14</f>
        <v>0</v>
      </c>
      <c r="N20" s="690">
        <f>transport!M14</f>
        <v>1403.0909810672254</v>
      </c>
      <c r="O20" s="690">
        <f>transport!N14</f>
        <v>0</v>
      </c>
      <c r="P20" s="690">
        <f>transport!O14</f>
        <v>0</v>
      </c>
      <c r="Q20" s="691">
        <f>transport!P14</f>
        <v>0</v>
      </c>
      <c r="R20" s="693">
        <f>SUM(C20:Q20)</f>
        <v>32537.694458695063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1.5988786737214047</v>
      </c>
      <c r="D22" s="808">
        <f t="shared" ref="D22:R22" si="1">SUM(D18:D21)</f>
        <v>0</v>
      </c>
      <c r="E22" s="808">
        <f t="shared" si="1"/>
        <v>2.7994513212280125</v>
      </c>
      <c r="F22" s="808">
        <f t="shared" si="1"/>
        <v>84.897584691390193</v>
      </c>
      <c r="G22" s="808">
        <f t="shared" si="1"/>
        <v>0</v>
      </c>
      <c r="H22" s="808">
        <f t="shared" si="1"/>
        <v>27018.268650311056</v>
      </c>
      <c r="I22" s="808">
        <f t="shared" si="1"/>
        <v>4173.6840867246074</v>
      </c>
      <c r="J22" s="808">
        <f t="shared" si="1"/>
        <v>0</v>
      </c>
      <c r="K22" s="808">
        <f t="shared" si="1"/>
        <v>0</v>
      </c>
      <c r="L22" s="808">
        <f t="shared" si="1"/>
        <v>0</v>
      </c>
      <c r="M22" s="808">
        <f t="shared" si="1"/>
        <v>0</v>
      </c>
      <c r="N22" s="808">
        <f t="shared" si="1"/>
        <v>1409.612650641026</v>
      </c>
      <c r="O22" s="808">
        <f t="shared" si="1"/>
        <v>0</v>
      </c>
      <c r="P22" s="808">
        <f t="shared" si="1"/>
        <v>0</v>
      </c>
      <c r="Q22" s="808">
        <f t="shared" si="1"/>
        <v>0</v>
      </c>
      <c r="R22" s="808">
        <f t="shared" si="1"/>
        <v>32690.861302363028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2416.220249371409</v>
      </c>
      <c r="D24" s="690">
        <f>+landbouw!C8</f>
        <v>7637.1428571428569</v>
      </c>
      <c r="E24" s="690">
        <f>+landbouw!D8</f>
        <v>0</v>
      </c>
      <c r="F24" s="690">
        <f>+landbouw!E8</f>
        <v>30.447487866641897</v>
      </c>
      <c r="G24" s="690">
        <f>+landbouw!F8</f>
        <v>8336.5651596719472</v>
      </c>
      <c r="H24" s="690">
        <f>+landbouw!G8</f>
        <v>0</v>
      </c>
      <c r="I24" s="690">
        <f>+landbouw!H8</f>
        <v>0</v>
      </c>
      <c r="J24" s="690">
        <f>+landbouw!I8</f>
        <v>0</v>
      </c>
      <c r="K24" s="690">
        <f>+landbouw!J8</f>
        <v>363.37205888305238</v>
      </c>
      <c r="L24" s="690">
        <f>+landbouw!K8</f>
        <v>0</v>
      </c>
      <c r="M24" s="690">
        <f>+landbouw!L8</f>
        <v>0</v>
      </c>
      <c r="N24" s="690">
        <f>+landbouw!M8</f>
        <v>0</v>
      </c>
      <c r="O24" s="690">
        <f>+landbouw!N8</f>
        <v>0</v>
      </c>
      <c r="P24" s="690">
        <f>+landbouw!O8</f>
        <v>0</v>
      </c>
      <c r="Q24" s="691">
        <f>+landbouw!P8</f>
        <v>0</v>
      </c>
      <c r="R24" s="693">
        <f>SUM(C24:Q24)</f>
        <v>18783.747812935904</v>
      </c>
      <c r="S24" s="67"/>
    </row>
    <row r="25" spans="1:19" s="458" customFormat="1" ht="15" thickBot="1">
      <c r="A25" s="827" t="s">
        <v>872</v>
      </c>
      <c r="B25" s="1004"/>
      <c r="C25" s="1005">
        <f>IF(Onbekend_ele_kWh="---",0,Onbekend_ele_kWh)/1000+IF(REST_rest_ele_kWh="---",0,REST_rest_ele_kWh)/1000</f>
        <v>368.07072151071202</v>
      </c>
      <c r="D25" s="1005"/>
      <c r="E25" s="1005">
        <f>IF(onbekend_gas_kWh="---",0,onbekend_gas_kWh)/1000+IF(REST_rest_gas_kWh="---",0,REST_rest_gas_kWh)/1000</f>
        <v>748.63785289764189</v>
      </c>
      <c r="F25" s="1005"/>
      <c r="G25" s="1005"/>
      <c r="H25" s="1005"/>
      <c r="I25" s="1005"/>
      <c r="J25" s="1005"/>
      <c r="K25" s="1005"/>
      <c r="L25" s="1005"/>
      <c r="M25" s="1005"/>
      <c r="N25" s="1005"/>
      <c r="O25" s="1005"/>
      <c r="P25" s="1005"/>
      <c r="Q25" s="1006"/>
      <c r="R25" s="693">
        <f>SUM(C25:Q25)</f>
        <v>1116.7085744083538</v>
      </c>
      <c r="S25" s="67"/>
    </row>
    <row r="26" spans="1:19" s="458" customFormat="1" ht="15.75" thickBot="1">
      <c r="A26" s="698" t="s">
        <v>873</v>
      </c>
      <c r="B26" s="813"/>
      <c r="C26" s="808">
        <f>SUM(C24:C25)</f>
        <v>2784.2909708821207</v>
      </c>
      <c r="D26" s="808">
        <f t="shared" ref="D26:R26" si="2">SUM(D24:D25)</f>
        <v>7637.1428571428569</v>
      </c>
      <c r="E26" s="808">
        <f t="shared" si="2"/>
        <v>748.63785289764189</v>
      </c>
      <c r="F26" s="808">
        <f t="shared" si="2"/>
        <v>30.447487866641897</v>
      </c>
      <c r="G26" s="808">
        <f t="shared" si="2"/>
        <v>8336.5651596719472</v>
      </c>
      <c r="H26" s="808">
        <f t="shared" si="2"/>
        <v>0</v>
      </c>
      <c r="I26" s="808">
        <f t="shared" si="2"/>
        <v>0</v>
      </c>
      <c r="J26" s="808">
        <f t="shared" si="2"/>
        <v>0</v>
      </c>
      <c r="K26" s="808">
        <f t="shared" si="2"/>
        <v>363.37205888305238</v>
      </c>
      <c r="L26" s="808">
        <f t="shared" si="2"/>
        <v>0</v>
      </c>
      <c r="M26" s="808">
        <f t="shared" si="2"/>
        <v>0</v>
      </c>
      <c r="N26" s="808">
        <f t="shared" si="2"/>
        <v>0</v>
      </c>
      <c r="O26" s="808">
        <f t="shared" si="2"/>
        <v>0</v>
      </c>
      <c r="P26" s="808">
        <f t="shared" si="2"/>
        <v>0</v>
      </c>
      <c r="Q26" s="808">
        <f t="shared" si="2"/>
        <v>0</v>
      </c>
      <c r="R26" s="808">
        <f t="shared" si="2"/>
        <v>19900.456387344257</v>
      </c>
      <c r="S26" s="67"/>
    </row>
    <row r="27" spans="1:19" s="458" customFormat="1" ht="17.25" thickTop="1" thickBot="1">
      <c r="A27" s="699" t="s">
        <v>116</v>
      </c>
      <c r="B27" s="800"/>
      <c r="C27" s="700">
        <f ca="1">C22+C16+C26</f>
        <v>45769.937839561229</v>
      </c>
      <c r="D27" s="700">
        <f t="shared" ref="D27:R27" ca="1" si="3">D22+D16+D26</f>
        <v>7637.1428571428569</v>
      </c>
      <c r="E27" s="700">
        <f t="shared" ca="1" si="3"/>
        <v>32101.177164892481</v>
      </c>
      <c r="F27" s="700">
        <f t="shared" si="3"/>
        <v>4409.7902520375319</v>
      </c>
      <c r="G27" s="700">
        <f t="shared" ca="1" si="3"/>
        <v>41516.73904609817</v>
      </c>
      <c r="H27" s="700">
        <f t="shared" si="3"/>
        <v>27018.268650311056</v>
      </c>
      <c r="I27" s="700">
        <f t="shared" si="3"/>
        <v>4173.6840867246074</v>
      </c>
      <c r="J27" s="700">
        <f t="shared" si="3"/>
        <v>0</v>
      </c>
      <c r="K27" s="700">
        <f t="shared" si="3"/>
        <v>403.35040719066046</v>
      </c>
      <c r="L27" s="700">
        <f t="shared" si="3"/>
        <v>0</v>
      </c>
      <c r="M27" s="700">
        <f t="shared" ca="1" si="3"/>
        <v>0</v>
      </c>
      <c r="N27" s="700">
        <f t="shared" si="3"/>
        <v>1409.612650641026</v>
      </c>
      <c r="O27" s="700">
        <f t="shared" ca="1" si="3"/>
        <v>16434.491204871356</v>
      </c>
      <c r="P27" s="700">
        <f t="shared" si="3"/>
        <v>129.75666666666669</v>
      </c>
      <c r="Q27" s="700">
        <f t="shared" si="3"/>
        <v>286</v>
      </c>
      <c r="R27" s="700">
        <f t="shared" ca="1" si="3"/>
        <v>181289.95082613762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1871.1644741609964</v>
      </c>
      <c r="D40" s="690">
        <f ca="1">tertiair!C20</f>
        <v>0</v>
      </c>
      <c r="E40" s="690">
        <f ca="1">tertiair!D20</f>
        <v>1453.2608151603561</v>
      </c>
      <c r="F40" s="690">
        <f>tertiair!E20</f>
        <v>24.852691660344995</v>
      </c>
      <c r="G40" s="690">
        <f ca="1">tertiair!F20</f>
        <v>451.42848477567628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3800.7064657573737</v>
      </c>
    </row>
    <row r="41" spans="1:18">
      <c r="A41" s="818" t="s">
        <v>225</v>
      </c>
      <c r="B41" s="825"/>
      <c r="C41" s="690">
        <f ca="1">huishoudens!B12</f>
        <v>3111.8584761139855</v>
      </c>
      <c r="D41" s="690">
        <f ca="1">huishoudens!C12</f>
        <v>0</v>
      </c>
      <c r="E41" s="690">
        <f>huishoudens!D12</f>
        <v>4558.5138368753078</v>
      </c>
      <c r="F41" s="690">
        <f>huishoudens!E12</f>
        <v>639.57449309057654</v>
      </c>
      <c r="G41" s="690">
        <f>huishoudens!F12</f>
        <v>7020.310328067093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15330.257134146963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4056.9114476905429</v>
      </c>
      <c r="D43" s="690">
        <f ca="1">industrie!C22</f>
        <v>0</v>
      </c>
      <c r="E43" s="690">
        <f>industrie!D22</f>
        <v>320.87279982040604</v>
      </c>
      <c r="F43" s="690">
        <f>industrie!E22</f>
        <v>310.41187099092508</v>
      </c>
      <c r="G43" s="690">
        <f>industrie!F22</f>
        <v>1387.3676148330333</v>
      </c>
      <c r="H43" s="690">
        <f>industrie!G22</f>
        <v>0</v>
      </c>
      <c r="I43" s="690">
        <f>industrie!H22</f>
        <v>0</v>
      </c>
      <c r="J43" s="690">
        <f>industrie!I22</f>
        <v>0</v>
      </c>
      <c r="K43" s="690">
        <f>industrie!J22</f>
        <v>14.152335300893254</v>
      </c>
      <c r="L43" s="690">
        <f>industrie!K22</f>
        <v>0</v>
      </c>
      <c r="M43" s="690">
        <f>industrie!L22</f>
        <v>0</v>
      </c>
      <c r="N43" s="690">
        <f>industrie!M22</f>
        <v>0</v>
      </c>
      <c r="O43" s="690">
        <f>industrie!N22</f>
        <v>0</v>
      </c>
      <c r="P43" s="690">
        <f>industrie!O22</f>
        <v>0</v>
      </c>
      <c r="Q43" s="767">
        <f>industrie!P22</f>
        <v>0</v>
      </c>
      <c r="R43" s="845">
        <f t="shared" ca="1" si="4"/>
        <v>6089.7160686358011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9039.9343979655241</v>
      </c>
      <c r="D46" s="725">
        <f t="shared" ref="D46:Q46" ca="1" si="5">SUM(D39:D45)</f>
        <v>0</v>
      </c>
      <c r="E46" s="725">
        <f t="shared" ca="1" si="5"/>
        <v>6332.6474518560699</v>
      </c>
      <c r="F46" s="725">
        <f t="shared" si="5"/>
        <v>974.83905574184666</v>
      </c>
      <c r="G46" s="725">
        <f t="shared" ca="1" si="5"/>
        <v>8859.1064276758025</v>
      </c>
      <c r="H46" s="725">
        <f t="shared" si="5"/>
        <v>0</v>
      </c>
      <c r="I46" s="725">
        <f t="shared" si="5"/>
        <v>0</v>
      </c>
      <c r="J46" s="725">
        <f t="shared" si="5"/>
        <v>0</v>
      </c>
      <c r="K46" s="725">
        <f t="shared" si="5"/>
        <v>14.152335300893254</v>
      </c>
      <c r="L46" s="725">
        <f t="shared" si="5"/>
        <v>0</v>
      </c>
      <c r="M46" s="725">
        <f t="shared" ca="1" si="5"/>
        <v>0</v>
      </c>
      <c r="N46" s="725">
        <f t="shared" si="5"/>
        <v>0</v>
      </c>
      <c r="O46" s="725">
        <f t="shared" ca="1" si="5"/>
        <v>0</v>
      </c>
      <c r="P46" s="725">
        <f t="shared" si="5"/>
        <v>0</v>
      </c>
      <c r="Q46" s="725">
        <f t="shared" si="5"/>
        <v>0</v>
      </c>
      <c r="R46" s="725">
        <f ca="1">SUM(R39:R45)</f>
        <v>25220.679668540139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39.154261483141951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39.154261483141951</v>
      </c>
    </row>
    <row r="50" spans="1:18">
      <c r="A50" s="821" t="s">
        <v>307</v>
      </c>
      <c r="B50" s="831"/>
      <c r="C50" s="696">
        <f ca="1">transport!B18</f>
        <v>0.33625865865654159</v>
      </c>
      <c r="D50" s="696">
        <f>transport!C18</f>
        <v>0</v>
      </c>
      <c r="E50" s="696">
        <f>transport!D18</f>
        <v>0.56548916688805861</v>
      </c>
      <c r="F50" s="696">
        <f>transport!E18</f>
        <v>19.271751724945574</v>
      </c>
      <c r="G50" s="696">
        <f>transport!F18</f>
        <v>0</v>
      </c>
      <c r="H50" s="696">
        <f>transport!G18</f>
        <v>7174.7234681499112</v>
      </c>
      <c r="I50" s="696">
        <f>transport!H18</f>
        <v>1039.2473375944273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8234.1443052948289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0.33625865865654159</v>
      </c>
      <c r="D52" s="725">
        <f t="shared" ref="D52:Q52" ca="1" si="6">SUM(D48:D51)</f>
        <v>0</v>
      </c>
      <c r="E52" s="725">
        <f t="shared" si="6"/>
        <v>0.56548916688805861</v>
      </c>
      <c r="F52" s="725">
        <f t="shared" si="6"/>
        <v>19.271751724945574</v>
      </c>
      <c r="G52" s="725">
        <f t="shared" si="6"/>
        <v>0</v>
      </c>
      <c r="H52" s="725">
        <f t="shared" si="6"/>
        <v>7213.8777296330536</v>
      </c>
      <c r="I52" s="725">
        <f t="shared" si="6"/>
        <v>1039.2473375944273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8273.2985667779703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508.15299085912596</v>
      </c>
      <c r="D54" s="696">
        <f ca="1">+landbouw!C12</f>
        <v>1814.9445378151263</v>
      </c>
      <c r="E54" s="696">
        <f>+landbouw!D12</f>
        <v>0</v>
      </c>
      <c r="F54" s="696">
        <f>+landbouw!E12</f>
        <v>6.9115797457277104</v>
      </c>
      <c r="G54" s="696">
        <f>+landbouw!F12</f>
        <v>2225.8628976324098</v>
      </c>
      <c r="H54" s="696">
        <f>+landbouw!G12</f>
        <v>0</v>
      </c>
      <c r="I54" s="696">
        <f>+landbouw!H12</f>
        <v>0</v>
      </c>
      <c r="J54" s="696">
        <f>+landbouw!I12</f>
        <v>0</v>
      </c>
      <c r="K54" s="696">
        <f>+landbouw!J12</f>
        <v>128.63370884460053</v>
      </c>
      <c r="L54" s="696">
        <f>+landbouw!K12</f>
        <v>0</v>
      </c>
      <c r="M54" s="696">
        <f>+landbouw!L12</f>
        <v>0</v>
      </c>
      <c r="N54" s="696">
        <f>+landbouw!M12</f>
        <v>0</v>
      </c>
      <c r="O54" s="696">
        <f>+landbouw!N12</f>
        <v>0</v>
      </c>
      <c r="P54" s="696">
        <f>+landbouw!O12</f>
        <v>0</v>
      </c>
      <c r="Q54" s="697">
        <f>+landbouw!P12</f>
        <v>0</v>
      </c>
      <c r="R54" s="724">
        <f ca="1">SUM(C54:Q54)</f>
        <v>4684.5057148969909</v>
      </c>
    </row>
    <row r="55" spans="1:18" ht="15" thickBot="1">
      <c r="A55" s="821" t="s">
        <v>872</v>
      </c>
      <c r="B55" s="831"/>
      <c r="C55" s="696">
        <f ca="1">C25*'EF ele_warmte'!B12</f>
        <v>77.408604630311785</v>
      </c>
      <c r="D55" s="696"/>
      <c r="E55" s="696">
        <f>E25*EF_CO2_aardgas</f>
        <v>151.22484628532368</v>
      </c>
      <c r="F55" s="696"/>
      <c r="G55" s="696"/>
      <c r="H55" s="696"/>
      <c r="I55" s="696"/>
      <c r="J55" s="696"/>
      <c r="K55" s="696"/>
      <c r="L55" s="696"/>
      <c r="M55" s="696"/>
      <c r="N55" s="696"/>
      <c r="O55" s="696"/>
      <c r="P55" s="696"/>
      <c r="Q55" s="697"/>
      <c r="R55" s="724">
        <f ca="1">SUM(C55:Q55)</f>
        <v>228.63345091563548</v>
      </c>
    </row>
    <row r="56" spans="1:18" ht="15.75" thickBot="1">
      <c r="A56" s="819" t="s">
        <v>873</v>
      </c>
      <c r="B56" s="832"/>
      <c r="C56" s="725">
        <f ca="1">SUM(C54:C55)</f>
        <v>585.56159548943776</v>
      </c>
      <c r="D56" s="725">
        <f t="shared" ref="D56:Q56" ca="1" si="7">SUM(D54:D55)</f>
        <v>1814.9445378151263</v>
      </c>
      <c r="E56" s="725">
        <f t="shared" si="7"/>
        <v>151.22484628532368</v>
      </c>
      <c r="F56" s="725">
        <f t="shared" si="7"/>
        <v>6.9115797457277104</v>
      </c>
      <c r="G56" s="725">
        <f t="shared" si="7"/>
        <v>2225.8628976324098</v>
      </c>
      <c r="H56" s="725">
        <f t="shared" si="7"/>
        <v>0</v>
      </c>
      <c r="I56" s="725">
        <f t="shared" si="7"/>
        <v>0</v>
      </c>
      <c r="J56" s="725">
        <f t="shared" si="7"/>
        <v>0</v>
      </c>
      <c r="K56" s="725">
        <f t="shared" si="7"/>
        <v>128.63370884460053</v>
      </c>
      <c r="L56" s="725">
        <f t="shared" si="7"/>
        <v>0</v>
      </c>
      <c r="M56" s="725">
        <f t="shared" si="7"/>
        <v>0</v>
      </c>
      <c r="N56" s="725">
        <f t="shared" si="7"/>
        <v>0</v>
      </c>
      <c r="O56" s="725">
        <f t="shared" si="7"/>
        <v>0</v>
      </c>
      <c r="P56" s="725">
        <f t="shared" si="7"/>
        <v>0</v>
      </c>
      <c r="Q56" s="726">
        <f t="shared" si="7"/>
        <v>0</v>
      </c>
      <c r="R56" s="727">
        <f ca="1">SUM(R54:R55)</f>
        <v>4913.1391658126267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9625.8322521136197</v>
      </c>
      <c r="D61" s="733">
        <f t="shared" ref="D61:Q61" ca="1" si="8">D46+D52+D56</f>
        <v>1814.9445378151263</v>
      </c>
      <c r="E61" s="733">
        <f t="shared" ca="1" si="8"/>
        <v>6484.4377873082822</v>
      </c>
      <c r="F61" s="733">
        <f t="shared" si="8"/>
        <v>1001.02238721252</v>
      </c>
      <c r="G61" s="733">
        <f t="shared" ca="1" si="8"/>
        <v>11084.969325308211</v>
      </c>
      <c r="H61" s="733">
        <f t="shared" si="8"/>
        <v>7213.8777296330536</v>
      </c>
      <c r="I61" s="733">
        <f t="shared" si="8"/>
        <v>1039.2473375944273</v>
      </c>
      <c r="J61" s="733">
        <f t="shared" si="8"/>
        <v>0</v>
      </c>
      <c r="K61" s="733">
        <f t="shared" si="8"/>
        <v>142.78604414549378</v>
      </c>
      <c r="L61" s="733">
        <f t="shared" si="8"/>
        <v>0</v>
      </c>
      <c r="M61" s="733">
        <f t="shared" ca="1" si="8"/>
        <v>0</v>
      </c>
      <c r="N61" s="733">
        <f t="shared" si="8"/>
        <v>0</v>
      </c>
      <c r="O61" s="733">
        <f t="shared" ca="1" si="8"/>
        <v>0</v>
      </c>
      <c r="P61" s="733">
        <f t="shared" si="8"/>
        <v>0</v>
      </c>
      <c r="Q61" s="733">
        <f t="shared" si="8"/>
        <v>0</v>
      </c>
      <c r="R61" s="733">
        <f ca="1">R46+R52+R56</f>
        <v>38407.11740113073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0.21030905232721411</v>
      </c>
      <c r="D63" s="776">
        <f t="shared" ca="1" si="9"/>
        <v>0.23764705882352946</v>
      </c>
      <c r="E63" s="1011">
        <f t="shared" ca="1" si="9"/>
        <v>0.20200000000000004</v>
      </c>
      <c r="F63" s="776">
        <f t="shared" si="9"/>
        <v>0.22700000000000006</v>
      </c>
      <c r="G63" s="776">
        <f t="shared" ca="1" si="9"/>
        <v>0.26700000000000002</v>
      </c>
      <c r="H63" s="776">
        <f t="shared" si="9"/>
        <v>0.26700000000000007</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2616.8289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5346</v>
      </c>
      <c r="D76" s="1021">
        <f>'lokale energieproductie'!C8</f>
        <v>6289.4117647058838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1270.4611764705885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2616.8289</v>
      </c>
      <c r="C78" s="748">
        <f>SUM(C72:C77)</f>
        <v>5346</v>
      </c>
      <c r="D78" s="749">
        <f t="shared" ref="D78:H78" si="10">SUM(D76:D77)</f>
        <v>6289.4117647058838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1270.4611764705885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7637.1428571428569</v>
      </c>
      <c r="D87" s="770">
        <f>'lokale energieproductie'!C17</f>
        <v>8984.8739495798327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1814.9445378151263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7637.1428571428569</v>
      </c>
      <c r="D90" s="748">
        <f t="shared" ref="D90:H90" si="12">SUM(D87:D89)</f>
        <v>8984.8739495798327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1814.9445378151263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2616.8289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5346</v>
      </c>
      <c r="C8" s="560">
        <f>B101</f>
        <v>6289.4117647058838</v>
      </c>
      <c r="D8" s="1028"/>
      <c r="E8" s="1028">
        <f>E101</f>
        <v>0</v>
      </c>
      <c r="F8" s="1029"/>
      <c r="G8" s="561"/>
      <c r="H8" s="1028">
        <f>I101</f>
        <v>0</v>
      </c>
      <c r="I8" s="1028">
        <f>G101+F101</f>
        <v>0</v>
      </c>
      <c r="J8" s="1028">
        <f>H101+D101+C101</f>
        <v>0</v>
      </c>
      <c r="K8" s="1028"/>
      <c r="L8" s="1028"/>
      <c r="M8" s="1028"/>
      <c r="N8" s="562"/>
      <c r="O8" s="563">
        <f>C8*$C$12+D8*$D$12+E8*$E$12+F8*$F$12+G8*$G$12+H8*$H$12+I8*$I$12+J8*$J$12</f>
        <v>1270.4611764705885</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7962.8289000000004</v>
      </c>
      <c r="C10" s="573">
        <f t="shared" ref="C10:L10" si="0">SUM(C8:C9)</f>
        <v>6289.4117647058838</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1270.4611764705885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7637.1428571428569</v>
      </c>
      <c r="C17" s="585">
        <f>B102</f>
        <v>8984.8739495798327</v>
      </c>
      <c r="D17" s="586"/>
      <c r="E17" s="586">
        <f>E102</f>
        <v>0</v>
      </c>
      <c r="F17" s="1034"/>
      <c r="G17" s="587"/>
      <c r="H17" s="585">
        <f>I102</f>
        <v>0</v>
      </c>
      <c r="I17" s="586">
        <f>G102+F102</f>
        <v>0</v>
      </c>
      <c r="J17" s="586">
        <f>H102+D102+C102</f>
        <v>0</v>
      </c>
      <c r="K17" s="586"/>
      <c r="L17" s="586"/>
      <c r="M17" s="586"/>
      <c r="N17" s="1035"/>
      <c r="O17" s="588">
        <f>C17*$C$22+E17*$E$22+H17*$H$22+I17*$I$22+J17*$J$22+D17*$D$22+F17*$F$22+G17*$G$22+K17*$K$22+L17*$L$22</f>
        <v>1814.9445378151263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7637.1428571428569</v>
      </c>
      <c r="C20" s="572">
        <f>SUM(C17:C19)</f>
        <v>8984.8739495798327</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1814.9445378151263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37002</v>
      </c>
      <c r="C28" s="791">
        <v>8720</v>
      </c>
      <c r="D28" s="644" t="s">
        <v>913</v>
      </c>
      <c r="E28" s="643" t="s">
        <v>914</v>
      </c>
      <c r="F28" s="643" t="s">
        <v>915</v>
      </c>
      <c r="G28" s="643" t="s">
        <v>916</v>
      </c>
      <c r="H28" s="643" t="s">
        <v>917</v>
      </c>
      <c r="I28" s="643" t="s">
        <v>918</v>
      </c>
      <c r="J28" s="790">
        <v>37987</v>
      </c>
      <c r="K28" s="790">
        <v>38777</v>
      </c>
      <c r="L28" s="643" t="s">
        <v>919</v>
      </c>
      <c r="M28" s="643">
        <v>182</v>
      </c>
      <c r="N28" s="643">
        <v>819</v>
      </c>
      <c r="O28" s="643">
        <v>1170</v>
      </c>
      <c r="P28" s="643">
        <v>2340</v>
      </c>
      <c r="Q28" s="643">
        <v>0</v>
      </c>
      <c r="R28" s="643">
        <v>0</v>
      </c>
      <c r="S28" s="643">
        <v>0</v>
      </c>
      <c r="T28" s="643">
        <v>0</v>
      </c>
      <c r="U28" s="643">
        <v>0</v>
      </c>
      <c r="V28" s="643">
        <v>0</v>
      </c>
      <c r="W28" s="643">
        <v>0</v>
      </c>
      <c r="X28" s="643">
        <v>10</v>
      </c>
      <c r="Y28" s="643" t="s">
        <v>112</v>
      </c>
      <c r="Z28" s="645" t="s">
        <v>112</v>
      </c>
    </row>
    <row r="29" spans="1:26" s="597" customFormat="1" ht="25.5">
      <c r="A29" s="596"/>
      <c r="B29" s="791">
        <v>37002</v>
      </c>
      <c r="C29" s="791">
        <v>8720</v>
      </c>
      <c r="D29" s="644" t="s">
        <v>920</v>
      </c>
      <c r="E29" s="643" t="s">
        <v>921</v>
      </c>
      <c r="F29" s="643" t="s">
        <v>922</v>
      </c>
      <c r="G29" s="643" t="s">
        <v>916</v>
      </c>
      <c r="H29" s="643" t="s">
        <v>917</v>
      </c>
      <c r="I29" s="643" t="s">
        <v>923</v>
      </c>
      <c r="J29" s="790">
        <v>39827</v>
      </c>
      <c r="K29" s="790">
        <v>39827</v>
      </c>
      <c r="L29" s="643" t="s">
        <v>919</v>
      </c>
      <c r="M29" s="643">
        <v>1006</v>
      </c>
      <c r="N29" s="643">
        <v>4527</v>
      </c>
      <c r="O29" s="643">
        <v>6467.1428571428569</v>
      </c>
      <c r="P29" s="643">
        <v>12934.285714285716</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1188</v>
      </c>
      <c r="N58" s="601">
        <f>SUM(N28:N57)</f>
        <v>5346</v>
      </c>
      <c r="O58" s="601">
        <f t="shared" ref="O58:W58" si="2">SUM(O28:O57)</f>
        <v>7637.1428571428569</v>
      </c>
      <c r="P58" s="601">
        <f t="shared" si="2"/>
        <v>15274.285714285716</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1188</v>
      </c>
      <c r="N61" s="606">
        <f t="shared" si="4"/>
        <v>5346</v>
      </c>
      <c r="O61" s="606">
        <f t="shared" si="4"/>
        <v>7637.1428571428569</v>
      </c>
      <c r="P61" s="606">
        <f t="shared" si="4"/>
        <v>15274.285714285716</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6289.4117647058838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8984.8739495798327</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14796.5978719372</v>
      </c>
      <c r="C4" s="462">
        <f>huishoudens!C8</f>
        <v>0</v>
      </c>
      <c r="D4" s="462">
        <f>huishoudens!D8</f>
        <v>22566.900182551028</v>
      </c>
      <c r="E4" s="462">
        <f>huishoudens!E8</f>
        <v>2817.5087801346981</v>
      </c>
      <c r="F4" s="462">
        <f>huishoudens!F8</f>
        <v>26293.297108865514</v>
      </c>
      <c r="G4" s="462">
        <f>huishoudens!G8</f>
        <v>0</v>
      </c>
      <c r="H4" s="462">
        <f>huishoudens!H8</f>
        <v>0</v>
      </c>
      <c r="I4" s="462">
        <f>huishoudens!I8</f>
        <v>0</v>
      </c>
      <c r="J4" s="462">
        <f>huishoudens!J8</f>
        <v>0</v>
      </c>
      <c r="K4" s="462">
        <f>huishoudens!K8</f>
        <v>0</v>
      </c>
      <c r="L4" s="462">
        <f>huishoudens!L8</f>
        <v>0</v>
      </c>
      <c r="M4" s="462">
        <f>huishoudens!M8</f>
        <v>0</v>
      </c>
      <c r="N4" s="462">
        <f>huishoudens!N8</f>
        <v>11666.194752819289</v>
      </c>
      <c r="O4" s="462">
        <f>huishoudens!O8</f>
        <v>128.19333333333336</v>
      </c>
      <c r="P4" s="463">
        <f>huishoudens!P8</f>
        <v>286</v>
      </c>
      <c r="Q4" s="464">
        <f>SUM(B4:P4)</f>
        <v>78554.692029641054</v>
      </c>
    </row>
    <row r="5" spans="1:17">
      <c r="A5" s="461" t="s">
        <v>156</v>
      </c>
      <c r="B5" s="462">
        <f ca="1">tertiair!B16</f>
        <v>8281.9511891389193</v>
      </c>
      <c r="C5" s="462">
        <f ca="1">tertiair!C16</f>
        <v>0</v>
      </c>
      <c r="D5" s="462">
        <f ca="1">tertiair!D16</f>
        <v>7194.3604710908712</v>
      </c>
      <c r="E5" s="462">
        <f>tertiair!E16</f>
        <v>109.48322317332597</v>
      </c>
      <c r="F5" s="462">
        <f ca="1">tertiair!F16</f>
        <v>1690.7433886729448</v>
      </c>
      <c r="G5" s="462">
        <f>tertiair!G16</f>
        <v>0</v>
      </c>
      <c r="H5" s="462">
        <f>tertiair!H16</f>
        <v>0</v>
      </c>
      <c r="I5" s="462">
        <f>tertiair!I16</f>
        <v>0</v>
      </c>
      <c r="J5" s="462">
        <f>tertiair!J16</f>
        <v>0</v>
      </c>
      <c r="K5" s="462">
        <f>tertiair!K16</f>
        <v>0</v>
      </c>
      <c r="L5" s="462">
        <f ca="1">tertiair!L16</f>
        <v>0</v>
      </c>
      <c r="M5" s="462">
        <f>tertiair!M16</f>
        <v>0</v>
      </c>
      <c r="N5" s="462">
        <f ca="1">tertiair!N16</f>
        <v>1061.5787457005301</v>
      </c>
      <c r="O5" s="462">
        <f>tertiair!O16</f>
        <v>1.5633333333333335</v>
      </c>
      <c r="P5" s="463">
        <f>tertiair!P16</f>
        <v>0</v>
      </c>
      <c r="Q5" s="461">
        <f t="shared" ref="Q5:Q14" ca="1" si="0">SUM(B5:P5)</f>
        <v>18339.680351109924</v>
      </c>
    </row>
    <row r="6" spans="1:17">
      <c r="A6" s="461" t="s">
        <v>194</v>
      </c>
      <c r="B6" s="462">
        <f>'openbare verlichting'!B8</f>
        <v>615.26199999999994</v>
      </c>
      <c r="C6" s="462"/>
      <c r="D6" s="462"/>
      <c r="E6" s="462"/>
      <c r="F6" s="462"/>
      <c r="G6" s="462"/>
      <c r="H6" s="462"/>
      <c r="I6" s="462"/>
      <c r="J6" s="462"/>
      <c r="K6" s="462"/>
      <c r="L6" s="462"/>
      <c r="M6" s="462"/>
      <c r="N6" s="462"/>
      <c r="O6" s="462"/>
      <c r="P6" s="463"/>
      <c r="Q6" s="461">
        <f t="shared" si="0"/>
        <v>615.26199999999994</v>
      </c>
    </row>
    <row r="7" spans="1:17">
      <c r="A7" s="461" t="s">
        <v>112</v>
      </c>
      <c r="B7" s="462">
        <f>landbouw!B8</f>
        <v>2416.220249371409</v>
      </c>
      <c r="C7" s="462">
        <f>landbouw!C8</f>
        <v>7637.1428571428569</v>
      </c>
      <c r="D7" s="462">
        <f>landbouw!D8</f>
        <v>0</v>
      </c>
      <c r="E7" s="462">
        <f>landbouw!E8</f>
        <v>30.447487866641897</v>
      </c>
      <c r="F7" s="462">
        <f>landbouw!F8</f>
        <v>8336.5651596719472</v>
      </c>
      <c r="G7" s="462">
        <f>landbouw!G8</f>
        <v>0</v>
      </c>
      <c r="H7" s="462">
        <f>landbouw!H8</f>
        <v>0</v>
      </c>
      <c r="I7" s="462">
        <f>landbouw!I8</f>
        <v>0</v>
      </c>
      <c r="J7" s="462">
        <f>landbouw!J8</f>
        <v>363.37205888305238</v>
      </c>
      <c r="K7" s="462">
        <f>landbouw!K8</f>
        <v>0</v>
      </c>
      <c r="L7" s="462">
        <f>landbouw!L8</f>
        <v>0</v>
      </c>
      <c r="M7" s="462">
        <f>landbouw!M8</f>
        <v>0</v>
      </c>
      <c r="N7" s="462">
        <f>landbouw!N8</f>
        <v>0</v>
      </c>
      <c r="O7" s="462">
        <f>landbouw!O8</f>
        <v>0</v>
      </c>
      <c r="P7" s="463">
        <f>landbouw!P8</f>
        <v>0</v>
      </c>
      <c r="Q7" s="461">
        <f t="shared" si="0"/>
        <v>18783.747812935904</v>
      </c>
    </row>
    <row r="8" spans="1:17">
      <c r="A8" s="461" t="s">
        <v>657</v>
      </c>
      <c r="B8" s="462">
        <f>industrie!B18</f>
        <v>19290.236928929266</v>
      </c>
      <c r="C8" s="462">
        <f>industrie!C18</f>
        <v>0</v>
      </c>
      <c r="D8" s="462">
        <f>industrie!D18</f>
        <v>1588.479207031713</v>
      </c>
      <c r="E8" s="462">
        <f>industrie!E18</f>
        <v>1367.4531761714761</v>
      </c>
      <c r="F8" s="462">
        <f>industrie!F18</f>
        <v>5196.1333888877643</v>
      </c>
      <c r="G8" s="462">
        <f>industrie!G18</f>
        <v>0</v>
      </c>
      <c r="H8" s="462">
        <f>industrie!H18</f>
        <v>0</v>
      </c>
      <c r="I8" s="462">
        <f>industrie!I18</f>
        <v>0</v>
      </c>
      <c r="J8" s="462">
        <f>industrie!J18</f>
        <v>39.978348307608066</v>
      </c>
      <c r="K8" s="462">
        <f>industrie!K18</f>
        <v>0</v>
      </c>
      <c r="L8" s="462">
        <f>industrie!L18</f>
        <v>0</v>
      </c>
      <c r="M8" s="462">
        <f>industrie!M18</f>
        <v>0</v>
      </c>
      <c r="N8" s="462">
        <f>industrie!N18</f>
        <v>3706.7177063515378</v>
      </c>
      <c r="O8" s="462">
        <f>industrie!O18</f>
        <v>0</v>
      </c>
      <c r="P8" s="463">
        <f>industrie!P18</f>
        <v>0</v>
      </c>
      <c r="Q8" s="461">
        <f t="shared" si="0"/>
        <v>31188.998755679364</v>
      </c>
    </row>
    <row r="9" spans="1:17" s="467" customFormat="1">
      <c r="A9" s="465" t="s">
        <v>574</v>
      </c>
      <c r="B9" s="466">
        <f>transport!B14</f>
        <v>1.5988786737214047</v>
      </c>
      <c r="C9" s="466">
        <f>transport!C14</f>
        <v>0</v>
      </c>
      <c r="D9" s="466">
        <f>transport!D14</f>
        <v>2.7994513212280125</v>
      </c>
      <c r="E9" s="466">
        <f>transport!E14</f>
        <v>84.897584691390193</v>
      </c>
      <c r="F9" s="466">
        <f>transport!F14</f>
        <v>0</v>
      </c>
      <c r="G9" s="466">
        <f>transport!G14</f>
        <v>26871.623476216893</v>
      </c>
      <c r="H9" s="466">
        <f>transport!H14</f>
        <v>4173.6840867246074</v>
      </c>
      <c r="I9" s="466">
        <f>transport!I14</f>
        <v>0</v>
      </c>
      <c r="J9" s="466">
        <f>transport!J14</f>
        <v>0</v>
      </c>
      <c r="K9" s="466">
        <f>transport!K14</f>
        <v>0</v>
      </c>
      <c r="L9" s="466">
        <f>transport!L14</f>
        <v>0</v>
      </c>
      <c r="M9" s="466">
        <f>transport!M14</f>
        <v>1403.0909810672254</v>
      </c>
      <c r="N9" s="466">
        <f>transport!N14</f>
        <v>0</v>
      </c>
      <c r="O9" s="466">
        <f>transport!O14</f>
        <v>0</v>
      </c>
      <c r="P9" s="466">
        <f>transport!P14</f>
        <v>0</v>
      </c>
      <c r="Q9" s="465">
        <f>SUM(B9:P9)</f>
        <v>32537.694458695063</v>
      </c>
    </row>
    <row r="10" spans="1:17">
      <c r="A10" s="461" t="s">
        <v>564</v>
      </c>
      <c r="B10" s="462">
        <f>transport!B54</f>
        <v>0</v>
      </c>
      <c r="C10" s="462">
        <f>transport!C54</f>
        <v>0</v>
      </c>
      <c r="D10" s="462">
        <f>transport!D54</f>
        <v>0</v>
      </c>
      <c r="E10" s="462">
        <f>transport!E54</f>
        <v>0</v>
      </c>
      <c r="F10" s="462">
        <f>transport!F54</f>
        <v>0</v>
      </c>
      <c r="G10" s="462">
        <f>transport!G54</f>
        <v>146.64517409416462</v>
      </c>
      <c r="H10" s="462">
        <f>transport!H54</f>
        <v>0</v>
      </c>
      <c r="I10" s="462">
        <f>transport!I54</f>
        <v>0</v>
      </c>
      <c r="J10" s="462">
        <f>transport!J54</f>
        <v>0</v>
      </c>
      <c r="K10" s="462">
        <f>transport!K54</f>
        <v>0</v>
      </c>
      <c r="L10" s="462">
        <f>transport!L54</f>
        <v>0</v>
      </c>
      <c r="M10" s="462">
        <f>transport!M54</f>
        <v>6.5216695738006285</v>
      </c>
      <c r="N10" s="462">
        <f>transport!N54</f>
        <v>0</v>
      </c>
      <c r="O10" s="462">
        <f>transport!O54</f>
        <v>0</v>
      </c>
      <c r="P10" s="463">
        <f>transport!P54</f>
        <v>0</v>
      </c>
      <c r="Q10" s="461">
        <f t="shared" si="0"/>
        <v>153.16684366796525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368.07072151071202</v>
      </c>
      <c r="C14" s="469"/>
      <c r="D14" s="469">
        <f>'SEAP template'!E25</f>
        <v>748.63785289764189</v>
      </c>
      <c r="E14" s="469"/>
      <c r="F14" s="469"/>
      <c r="G14" s="469"/>
      <c r="H14" s="469"/>
      <c r="I14" s="469"/>
      <c r="J14" s="469"/>
      <c r="K14" s="469"/>
      <c r="L14" s="469"/>
      <c r="M14" s="469"/>
      <c r="N14" s="469"/>
      <c r="O14" s="469"/>
      <c r="P14" s="470"/>
      <c r="Q14" s="461">
        <f t="shared" si="0"/>
        <v>1116.7085744083538</v>
      </c>
    </row>
    <row r="15" spans="1:17" s="474" customFormat="1">
      <c r="A15" s="471" t="s">
        <v>568</v>
      </c>
      <c r="B15" s="472">
        <f ca="1">SUM(B4:B14)</f>
        <v>45769.937839561222</v>
      </c>
      <c r="C15" s="472">
        <f t="shared" ref="C15:Q15" ca="1" si="1">SUM(C4:C14)</f>
        <v>7637.1428571428569</v>
      </c>
      <c r="D15" s="472">
        <f t="shared" ca="1" si="1"/>
        <v>32101.177164892481</v>
      </c>
      <c r="E15" s="472">
        <f t="shared" si="1"/>
        <v>4409.7902520375319</v>
      </c>
      <c r="F15" s="472">
        <f t="shared" ca="1" si="1"/>
        <v>41516.73904609817</v>
      </c>
      <c r="G15" s="472">
        <f t="shared" si="1"/>
        <v>27018.268650311056</v>
      </c>
      <c r="H15" s="472">
        <f t="shared" si="1"/>
        <v>4173.6840867246074</v>
      </c>
      <c r="I15" s="472">
        <f t="shared" si="1"/>
        <v>0</v>
      </c>
      <c r="J15" s="472">
        <f t="shared" si="1"/>
        <v>403.35040719066046</v>
      </c>
      <c r="K15" s="472">
        <f t="shared" si="1"/>
        <v>0</v>
      </c>
      <c r="L15" s="472">
        <f t="shared" ca="1" si="1"/>
        <v>0</v>
      </c>
      <c r="M15" s="472">
        <f t="shared" si="1"/>
        <v>1409.612650641026</v>
      </c>
      <c r="N15" s="472">
        <f t="shared" ca="1" si="1"/>
        <v>16434.491204871356</v>
      </c>
      <c r="O15" s="472">
        <f t="shared" si="1"/>
        <v>129.75666666666669</v>
      </c>
      <c r="P15" s="472">
        <f t="shared" si="1"/>
        <v>286</v>
      </c>
      <c r="Q15" s="472">
        <f t="shared" ca="1" si="1"/>
        <v>181289.95082613765</v>
      </c>
    </row>
    <row r="17" spans="1:17">
      <c r="A17" s="475" t="s">
        <v>569</v>
      </c>
      <c r="B17" s="781">
        <f ca="1">huishoudens!B10</f>
        <v>0.21030905232721411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3111.8584761139855</v>
      </c>
      <c r="C22" s="462">
        <f t="shared" ref="C22:C32" ca="1" si="3">C4*$C$17</f>
        <v>0</v>
      </c>
      <c r="D22" s="462">
        <f t="shared" ref="D22:D32" si="4">D4*$D$17</f>
        <v>4558.5138368753078</v>
      </c>
      <c r="E22" s="462">
        <f t="shared" ref="E22:E32" si="5">E4*$E$17</f>
        <v>639.57449309057654</v>
      </c>
      <c r="F22" s="462">
        <f t="shared" ref="F22:F32" si="6">F4*$F$17</f>
        <v>7020.310328067093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15330.257134146963</v>
      </c>
    </row>
    <row r="23" spans="1:17">
      <c r="A23" s="461" t="s">
        <v>156</v>
      </c>
      <c r="B23" s="462">
        <f t="shared" ca="1" si="2"/>
        <v>1741.7693060080501</v>
      </c>
      <c r="C23" s="462">
        <f t="shared" ca="1" si="3"/>
        <v>0</v>
      </c>
      <c r="D23" s="462">
        <f t="shared" ca="1" si="4"/>
        <v>1453.2608151603561</v>
      </c>
      <c r="E23" s="462">
        <f t="shared" si="5"/>
        <v>24.852691660344995</v>
      </c>
      <c r="F23" s="462">
        <f t="shared" ca="1" si="6"/>
        <v>451.42848477567628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3671.3112976044276</v>
      </c>
    </row>
    <row r="24" spans="1:17">
      <c r="A24" s="461" t="s">
        <v>194</v>
      </c>
      <c r="B24" s="462">
        <f t="shared" ca="1" si="2"/>
        <v>129.39516815294641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129.39516815294641</v>
      </c>
    </row>
    <row r="25" spans="1:17">
      <c r="A25" s="461" t="s">
        <v>112</v>
      </c>
      <c r="B25" s="462">
        <f t="shared" ca="1" si="2"/>
        <v>508.15299085912596</v>
      </c>
      <c r="C25" s="462">
        <f t="shared" ca="1" si="3"/>
        <v>1814.9445378151263</v>
      </c>
      <c r="D25" s="462">
        <f t="shared" si="4"/>
        <v>0</v>
      </c>
      <c r="E25" s="462">
        <f t="shared" si="5"/>
        <v>6.9115797457277104</v>
      </c>
      <c r="F25" s="462">
        <f t="shared" si="6"/>
        <v>2225.8628976324098</v>
      </c>
      <c r="G25" s="462">
        <f t="shared" si="7"/>
        <v>0</v>
      </c>
      <c r="H25" s="462">
        <f t="shared" si="8"/>
        <v>0</v>
      </c>
      <c r="I25" s="462">
        <f t="shared" si="9"/>
        <v>0</v>
      </c>
      <c r="J25" s="462">
        <f t="shared" si="10"/>
        <v>128.63370884460053</v>
      </c>
      <c r="K25" s="462">
        <f t="shared" si="11"/>
        <v>0</v>
      </c>
      <c r="L25" s="462">
        <f t="shared" si="12"/>
        <v>0</v>
      </c>
      <c r="M25" s="462">
        <f t="shared" si="13"/>
        <v>0</v>
      </c>
      <c r="N25" s="462">
        <f t="shared" si="14"/>
        <v>0</v>
      </c>
      <c r="O25" s="462">
        <f t="shared" si="15"/>
        <v>0</v>
      </c>
      <c r="P25" s="463">
        <f t="shared" si="16"/>
        <v>0</v>
      </c>
      <c r="Q25" s="461">
        <f t="shared" ca="1" si="17"/>
        <v>4684.5057148969909</v>
      </c>
    </row>
    <row r="26" spans="1:17">
      <c r="A26" s="461" t="s">
        <v>657</v>
      </c>
      <c r="B26" s="462">
        <f t="shared" ca="1" si="2"/>
        <v>4056.9114476905429</v>
      </c>
      <c r="C26" s="462">
        <f t="shared" ca="1" si="3"/>
        <v>0</v>
      </c>
      <c r="D26" s="462">
        <f t="shared" si="4"/>
        <v>320.87279982040604</v>
      </c>
      <c r="E26" s="462">
        <f t="shared" si="5"/>
        <v>310.41187099092508</v>
      </c>
      <c r="F26" s="462">
        <f t="shared" si="6"/>
        <v>1387.3676148330333</v>
      </c>
      <c r="G26" s="462">
        <f t="shared" si="7"/>
        <v>0</v>
      </c>
      <c r="H26" s="462">
        <f t="shared" si="8"/>
        <v>0</v>
      </c>
      <c r="I26" s="462">
        <f t="shared" si="9"/>
        <v>0</v>
      </c>
      <c r="J26" s="462">
        <f t="shared" si="10"/>
        <v>14.152335300893254</v>
      </c>
      <c r="K26" s="462">
        <f t="shared" si="11"/>
        <v>0</v>
      </c>
      <c r="L26" s="462">
        <f t="shared" si="12"/>
        <v>0</v>
      </c>
      <c r="M26" s="462">
        <f t="shared" si="13"/>
        <v>0</v>
      </c>
      <c r="N26" s="462">
        <f t="shared" si="14"/>
        <v>0</v>
      </c>
      <c r="O26" s="462">
        <f t="shared" si="15"/>
        <v>0</v>
      </c>
      <c r="P26" s="463">
        <f t="shared" si="16"/>
        <v>0</v>
      </c>
      <c r="Q26" s="461">
        <f t="shared" ca="1" si="17"/>
        <v>6089.7160686358011</v>
      </c>
    </row>
    <row r="27" spans="1:17" s="467" customFormat="1">
      <c r="A27" s="465" t="s">
        <v>574</v>
      </c>
      <c r="B27" s="775">
        <f t="shared" ca="1" si="2"/>
        <v>0.33625865865654159</v>
      </c>
      <c r="C27" s="466">
        <f t="shared" ca="1" si="3"/>
        <v>0</v>
      </c>
      <c r="D27" s="466">
        <f t="shared" si="4"/>
        <v>0.56548916688805861</v>
      </c>
      <c r="E27" s="466">
        <f t="shared" si="5"/>
        <v>19.271751724945574</v>
      </c>
      <c r="F27" s="466">
        <f t="shared" si="6"/>
        <v>0</v>
      </c>
      <c r="G27" s="466">
        <f t="shared" si="7"/>
        <v>7174.7234681499112</v>
      </c>
      <c r="H27" s="466">
        <f t="shared" si="8"/>
        <v>1039.2473375944273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8234.1443052948289</v>
      </c>
    </row>
    <row r="28" spans="1:17">
      <c r="A28" s="461" t="s">
        <v>564</v>
      </c>
      <c r="B28" s="462">
        <f t="shared" ca="1" si="2"/>
        <v>0</v>
      </c>
      <c r="C28" s="462">
        <f t="shared" ca="1" si="3"/>
        <v>0</v>
      </c>
      <c r="D28" s="462">
        <f t="shared" si="4"/>
        <v>0</v>
      </c>
      <c r="E28" s="462">
        <f t="shared" si="5"/>
        <v>0</v>
      </c>
      <c r="F28" s="462">
        <f t="shared" si="6"/>
        <v>0</v>
      </c>
      <c r="G28" s="462">
        <f t="shared" si="7"/>
        <v>39.154261483141951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39.154261483141951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77.408604630311785</v>
      </c>
      <c r="C32" s="462">
        <f t="shared" ca="1" si="3"/>
        <v>0</v>
      </c>
      <c r="D32" s="462">
        <f t="shared" si="4"/>
        <v>151.22484628532368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228.63345091563548</v>
      </c>
    </row>
    <row r="33" spans="1:17" s="474" customFormat="1">
      <c r="A33" s="471" t="s">
        <v>568</v>
      </c>
      <c r="B33" s="472">
        <f ca="1">SUM(B22:B32)</f>
        <v>9625.8322521136179</v>
      </c>
      <c r="C33" s="472">
        <f t="shared" ref="C33:Q33" ca="1" si="18">SUM(C22:C32)</f>
        <v>1814.9445378151263</v>
      </c>
      <c r="D33" s="472">
        <f t="shared" ca="1" si="18"/>
        <v>6484.4377873082822</v>
      </c>
      <c r="E33" s="472">
        <f t="shared" si="18"/>
        <v>1001.02238721252</v>
      </c>
      <c r="F33" s="472">
        <f t="shared" ca="1" si="18"/>
        <v>11084.969325308211</v>
      </c>
      <c r="G33" s="472">
        <f t="shared" si="18"/>
        <v>7213.8777296330536</v>
      </c>
      <c r="H33" s="472">
        <f t="shared" si="18"/>
        <v>1039.2473375944273</v>
      </c>
      <c r="I33" s="472">
        <f t="shared" si="18"/>
        <v>0</v>
      </c>
      <c r="J33" s="472">
        <f t="shared" si="18"/>
        <v>142.78604414549378</v>
      </c>
      <c r="K33" s="472">
        <f t="shared" si="18"/>
        <v>0</v>
      </c>
      <c r="L33" s="472">
        <f t="shared" ca="1" si="18"/>
        <v>0</v>
      </c>
      <c r="M33" s="472">
        <f t="shared" si="18"/>
        <v>0</v>
      </c>
      <c r="N33" s="472">
        <f t="shared" ca="1" si="18"/>
        <v>0</v>
      </c>
      <c r="O33" s="472">
        <f t="shared" si="18"/>
        <v>0</v>
      </c>
      <c r="P33" s="472">
        <f t="shared" si="18"/>
        <v>0</v>
      </c>
      <c r="Q33" s="472">
        <f t="shared" ca="1" si="18"/>
        <v>38407.117401130738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2616.8289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5346</v>
      </c>
      <c r="D8" s="1047">
        <f>'SEAP template'!D76</f>
        <v>6289.4117647058838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1270.4611764705885</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2616.8289</v>
      </c>
      <c r="C10" s="1051">
        <f>SUM(C4:C9)</f>
        <v>5346</v>
      </c>
      <c r="D10" s="1051">
        <f t="shared" ref="D10:H10" si="0">SUM(D8:D9)</f>
        <v>6289.4117647058838</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1270.4611764705885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0.21030905232721411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7637.1428571428569</v>
      </c>
      <c r="D17" s="1048">
        <f>'SEAP template'!D87</f>
        <v>8984.8739495798327</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1814.9445378151263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7637.1428571428569</v>
      </c>
      <c r="D20" s="1051">
        <f t="shared" ref="D20:H20" si="2">SUM(D17:D19)</f>
        <v>8984.8739495798327</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1814.9445378151263</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0.21030905232721411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2019-08-12T08:03:20Z</dcterms:modified>
</cp:coreProperties>
</file>