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E18"/>
  <c r="D18"/>
  <c r="C18"/>
  <c r="B18"/>
  <c r="B20" s="1"/>
  <c r="L9"/>
  <c r="L10" s="1"/>
  <c r="K9"/>
  <c r="K10" s="1"/>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F20"/>
  <c r="D20"/>
  <c r="B17"/>
  <c r="G12"/>
  <c r="F12"/>
  <c r="E12"/>
  <c r="D12"/>
  <c r="C12"/>
  <c r="G10"/>
  <c r="F10"/>
  <c r="B8"/>
  <c r="B6"/>
  <c r="B5"/>
  <c r="B4"/>
  <c r="B10" s="1"/>
  <c r="I102" l="1"/>
  <c r="H17" s="1"/>
  <c r="H20" s="1"/>
  <c r="B102"/>
  <c r="C17" s="1"/>
  <c r="C102"/>
  <c r="F102"/>
  <c r="G102"/>
  <c r="I101"/>
  <c r="H8" s="1"/>
  <c r="H10" s="1"/>
  <c r="B101"/>
  <c r="C8" s="1"/>
  <c r="C101"/>
  <c r="D101"/>
  <c r="F101"/>
  <c r="G101"/>
  <c r="H101"/>
  <c r="O9"/>
  <c r="O19"/>
  <c r="C20"/>
  <c r="C10"/>
  <c r="D102"/>
  <c r="H102"/>
  <c r="E101"/>
  <c r="E8" s="1"/>
  <c r="E10" s="1"/>
  <c r="E102"/>
  <c r="E17" s="1"/>
  <c r="E20" s="1"/>
  <c r="N6" i="17"/>
  <c r="I8" i="18" l="1"/>
  <c r="I10" s="1"/>
  <c r="J8"/>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N24"/>
  <c r="L24"/>
  <c r="J24"/>
  <c r="I24"/>
  <c r="I26" s="1"/>
  <c r="H24"/>
  <c r="H26" s="1"/>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E25"/>
  <c r="E55" s="1"/>
  <c r="C25"/>
  <c r="B14" i="48" s="1"/>
  <c r="P26" i="14"/>
  <c r="N26"/>
  <c r="L26"/>
  <c r="J26"/>
  <c r="M22"/>
  <c r="J22"/>
  <c r="R12"/>
  <c r="K78" l="1"/>
  <c r="K8" i="59"/>
  <c r="K10" s="1"/>
  <c r="E90" i="14"/>
  <c r="E18" i="59"/>
  <c r="L78" i="14"/>
  <c r="L9" i="59"/>
  <c r="P28" i="48"/>
  <c r="Q11"/>
  <c r="O28"/>
  <c r="K22" i="14"/>
  <c r="D22"/>
  <c r="L22"/>
  <c r="K20" i="59"/>
  <c r="O10"/>
  <c r="L20"/>
  <c r="N10"/>
  <c r="D14" i="48"/>
  <c r="L10" i="59"/>
  <c r="E20"/>
  <c r="E10"/>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F32" i="48"/>
  <c r="F28"/>
  <c r="F27"/>
  <c r="F30"/>
  <c r="F31"/>
  <c r="F29"/>
  <c r="F24"/>
  <c r="N32"/>
  <c r="N31"/>
  <c r="N29"/>
  <c r="N30"/>
  <c r="N27"/>
  <c r="N24"/>
  <c r="N28"/>
  <c r="C19" i="14"/>
  <c r="B10" i="48"/>
  <c r="E32"/>
  <c r="E28"/>
  <c r="E29"/>
  <c r="E31"/>
  <c r="E24"/>
  <c r="E30"/>
  <c r="M29"/>
  <c r="M26"/>
  <c r="M25"/>
  <c r="M32"/>
  <c r="M24"/>
  <c r="M22"/>
  <c r="M30"/>
  <c r="M23"/>
  <c r="L10" i="14"/>
  <c r="L16" s="1"/>
  <c r="L27" s="1"/>
  <c r="K5" i="48"/>
  <c r="D30"/>
  <c r="D28"/>
  <c r="D29"/>
  <c r="D24"/>
  <c r="D31"/>
  <c r="D32"/>
  <c r="L28"/>
  <c r="L29"/>
  <c r="L32"/>
  <c r="L27"/>
  <c r="L31"/>
  <c r="L22"/>
  <c r="L30"/>
  <c r="L24"/>
  <c r="P5"/>
  <c r="P23" s="1"/>
  <c r="Q10" i="14"/>
  <c r="K32" i="48"/>
  <c r="K28"/>
  <c r="K26"/>
  <c r="K25"/>
  <c r="K29"/>
  <c r="K24"/>
  <c r="K27"/>
  <c r="K22"/>
  <c r="K31"/>
  <c r="K30"/>
  <c r="C24" i="14"/>
  <c r="C26" s="1"/>
  <c r="B7" i="48"/>
  <c r="J29"/>
  <c r="J31"/>
  <c r="J32"/>
  <c r="J27"/>
  <c r="J30"/>
  <c r="J24"/>
  <c r="J28"/>
  <c r="P4"/>
  <c r="Q11" i="14"/>
  <c r="O4" i="48"/>
  <c r="P11" i="14"/>
  <c r="I29" i="48"/>
  <c r="I31"/>
  <c r="I26"/>
  <c r="I32"/>
  <c r="I25"/>
  <c r="I28"/>
  <c r="I24"/>
  <c r="I27"/>
  <c r="I22"/>
  <c r="I30"/>
  <c r="E11" i="14"/>
  <c r="D4" i="48"/>
  <c r="D22" s="1"/>
  <c r="H29"/>
  <c r="H26"/>
  <c r="H32"/>
  <c r="H25"/>
  <c r="H28"/>
  <c r="H24"/>
  <c r="H22"/>
  <c r="H30"/>
  <c r="H23"/>
  <c r="D11" i="14"/>
  <c r="C4" i="48"/>
  <c r="G32"/>
  <c r="G26"/>
  <c r="G30"/>
  <c r="G29"/>
  <c r="G24"/>
  <c r="G25"/>
  <c r="G22"/>
  <c r="G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N18" i="14"/>
  <c r="M13" i="48"/>
  <c r="M31" s="1"/>
  <c r="O22"/>
  <c r="H18" i="14"/>
  <c r="G13" i="48"/>
  <c r="I18" i="14"/>
  <c r="H13" i="48"/>
  <c r="H31" s="1"/>
  <c r="C22" i="14"/>
  <c r="K15" i="48"/>
  <c r="K23"/>
  <c r="E9"/>
  <c r="F20" i="14"/>
  <c r="F22" s="1"/>
  <c r="P22" i="16"/>
  <c r="Q43" i="14" s="1"/>
  <c r="P8" i="48"/>
  <c r="P26" s="1"/>
  <c r="Q13" i="14"/>
  <c r="D9" i="48"/>
  <c r="D27" s="1"/>
  <c r="E20" i="14"/>
  <c r="E22" s="1"/>
  <c r="B9" i="48"/>
  <c r="C20" i="14"/>
  <c r="O5" i="48"/>
  <c r="O23" s="1"/>
  <c r="P10" i="14"/>
  <c r="G11"/>
  <c r="F4" i="48"/>
  <c r="F22" s="1"/>
  <c r="K24" i="14"/>
  <c r="K26" s="1"/>
  <c r="J7" i="48"/>
  <c r="J25" s="1"/>
  <c r="P22"/>
  <c r="J10" i="14"/>
  <c r="J16" s="1"/>
  <c r="J27" s="1"/>
  <c r="I5" i="48"/>
  <c r="L63" i="14"/>
  <c r="K33" i="48"/>
  <c r="Q16" i="14"/>
  <c r="Q27" s="1"/>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I23"/>
  <c r="I33" s="1"/>
  <c r="I15"/>
  <c r="J4"/>
  <c r="K11" i="14"/>
  <c r="G9" i="48"/>
  <c r="H20" i="14"/>
  <c r="P13"/>
  <c r="O8" i="48"/>
  <c r="M10"/>
  <c r="M28" s="1"/>
  <c r="N19" i="14"/>
  <c r="F24"/>
  <c r="F26" s="1"/>
  <c r="E7" i="48"/>
  <c r="E25" s="1"/>
  <c r="H19" i="14"/>
  <c r="G10" i="48"/>
  <c r="E27"/>
  <c r="G31"/>
  <c r="Q13"/>
  <c r="N52" i="14"/>
  <c r="N61" s="1"/>
  <c r="P16"/>
  <c r="P27" s="1"/>
  <c r="M14" i="22"/>
  <c r="Q63" i="14"/>
  <c r="P15" i="48"/>
  <c r="P46" i="14"/>
  <c r="P61" s="1"/>
  <c r="P63" s="1"/>
  <c r="P33" i="48"/>
  <c r="R18" i="14"/>
  <c r="Q46"/>
  <c r="Q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J22" i="48" l="1"/>
  <c r="I20" i="14"/>
  <c r="H9" i="48"/>
  <c r="G27"/>
  <c r="G15"/>
  <c r="E22"/>
  <c r="Q4"/>
  <c r="E20" i="15"/>
  <c r="F40" i="14" s="1"/>
  <c r="E5" i="48"/>
  <c r="E23" s="1"/>
  <c r="F10" i="14"/>
  <c r="M9" i="48"/>
  <c r="N20" i="14"/>
  <c r="N22" s="1"/>
  <c r="N27" s="1"/>
  <c r="N63" s="1"/>
  <c r="G28" i="48"/>
  <c r="Q10"/>
  <c r="K10" i="14"/>
  <c r="J5" i="48"/>
  <c r="J23" s="1"/>
  <c r="O26"/>
  <c r="O33" s="1"/>
  <c r="O15"/>
  <c r="E61" i="14"/>
  <c r="R11"/>
  <c r="R19"/>
  <c r="H22"/>
  <c r="H27" s="1"/>
  <c r="Q9" i="48"/>
  <c r="M61" i="14"/>
  <c r="M27"/>
  <c r="E16"/>
  <c r="E27" s="1"/>
  <c r="E63" s="1"/>
  <c r="L15" i="48"/>
  <c r="R24" i="14"/>
  <c r="R26" s="1"/>
  <c r="L33" i="48"/>
  <c r="Q7"/>
  <c r="D23"/>
  <c r="D33" s="1"/>
  <c r="D15"/>
  <c r="C16" i="14"/>
  <c r="C27" s="1"/>
  <c r="B3" i="6" s="1"/>
  <c r="B12" s="1"/>
  <c r="F23" i="48"/>
  <c r="N23"/>
  <c r="Q5"/>
  <c r="B15"/>
  <c r="F18" i="16"/>
  <c r="E18"/>
  <c r="N18"/>
  <c r="J18"/>
  <c r="G18" i="22"/>
  <c r="H50" i="14" s="1"/>
  <c r="H52" s="1"/>
  <c r="H61"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2" l="1"/>
  <c r="J22" i="16"/>
  <c r="K43" i="14" s="1"/>
  <c r="K46" s="1"/>
  <c r="K61" s="1"/>
  <c r="K13"/>
  <c r="J8" i="48"/>
  <c r="R20" i="14"/>
  <c r="I22"/>
  <c r="I27" s="1"/>
  <c r="E8" i="48"/>
  <c r="F13" i="14"/>
  <c r="F16" s="1"/>
  <c r="F27" s="1"/>
  <c r="F63" s="1"/>
  <c r="H27" i="48"/>
  <c r="H33" s="1"/>
  <c r="H15"/>
  <c r="M27"/>
  <c r="M33" s="1"/>
  <c r="M15"/>
  <c r="I63" i="14"/>
  <c r="H63"/>
  <c r="K16"/>
  <c r="K27" s="1"/>
  <c r="F46"/>
  <c r="F61" s="1"/>
  <c r="R10"/>
  <c r="G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<sst xmlns="http://schemas.openxmlformats.org/spreadsheetml/2006/main" count="2432" uniqueCount="913">
  <si>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</si>
  <si>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</si>
  <si>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</si>
  <si>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</si>
  <si>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</si>
  <si>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</si>
  <si>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</si>
  <si>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</si>
  <si>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</si>
  <si>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</si>
  <si>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</si>
  <si>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</si>
  <si>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</si>
  <si>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</si>
  <si>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</si>
  <si>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</si>
  <si>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</si>
  <si>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</si>
  <si>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</si>
  <si>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</si>
  <si>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</si>
  <si>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</si>
  <si>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</si>
  <si>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</si>
  <si>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</si>
  <si>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</si>
  <si>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</si>
  <si>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</si>
  <si>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</si>
  <si>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</si>
  <si>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</si>
  <si>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</si>
  <si>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</si>
  <si>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</si>
  <si>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</si>
  <si>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</si>
  <si>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</si>
  <si>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</si>
  <si>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</si>
  <si>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</si>
  <si>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</si>
  <si>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</si>
  <si>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</si>
  <si>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</si>
  <si>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</si>
  <si>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</si>
  <si>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</si>
  <si>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</si>
  <si>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</si>
  <si>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</si>
  <si>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</si>
  <si>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</si>
  <si>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</si>
  <si>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</si>
  <si>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</si>
  <si>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</si>
  <si>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</si>
  <si>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</si>
  <si>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</si>
  <si>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</si>
  <si>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</si>
  <si>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</si>
  <si>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</si>
  <si>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</si>
  <si>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</si>
  <si>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</si>
  <si>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</si>
  <si>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</si>
  <si>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</si>
  <si>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</si>
  <si>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</si>
  <si>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</si>
  <si>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</si>
  <si>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</si>
  <si>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</si>
  <si>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</si>
  <si>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</si>
  <si>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</si>
  <si>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</si>
  <si>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</si>
  <si>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</si>
  <si>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</si>
  <si>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</si>
  <si>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</si>
  <si>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</si>
  <si>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</si>
  <si>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</si>
  <si>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</si>
  <si>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</si>
  <si>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</si>
  <si>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</si>
  <si>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</si>
  <si>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</si>
  <si>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</si>
  <si>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</si>
  <si>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</si>
  <si>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</si>
  <si>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</si>
  <si>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</si>
  <si>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</si>
  <si>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</si>
  <si>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</si>
  <si>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</si>
  <si>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</si>
  <si>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</si>
  <si>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</si>
  <si>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</si>
  <si>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</si>
  <si>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</si>
  <si>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</si>
  <si>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</si>
  <si>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</si>
  <si>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</si>
  <si>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</si>
  <si>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</si>
  <si>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</si>
  <si>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</si>
  <si>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</si>
  <si>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</si>
  <si>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</si>
  <si>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</si>
  <si>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</si>
  <si>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</si>
  <si>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</si>
  <si>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</si>
  <si>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</si>
  <si>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</si>
  <si>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</si>
  <si>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</si>
  <si>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</si>
  <si>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</si>
  <si>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</si>
  <si>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</si>
  <si>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</si>
  <si>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</si>
  <si>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</si>
  <si>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</si>
  <si>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</si>
  <si>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</si>
  <si>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</si>
  <si>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</si>
  <si>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</si>
  <si>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</si>
  <si>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</si>
  <si>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</si>
  <si>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</si>
  <si>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</si>
  <si>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</si>
  <si>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</si>
  <si>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</si>
  <si>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</si>
  <si>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</si>
  <si>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</si>
  <si>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</si>
  <si>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</si>
  <si>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</si>
  <si>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</si>
  <si>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</si>
  <si>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</si>
  <si>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</si>
  <si>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</si>
  <si>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</si>
  <si>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</si>
  <si>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</si>
  <si>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</si>
  <si>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</si>
  <si>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</si>
  <si>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</si>
  <si>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</si>
  <si>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</si>
  <si>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</si>
  <si>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</si>
  <si>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</si>
  <si>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</si>
  <si>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</si>
  <si>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</si>
  <si>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</si>
  <si>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</si>
  <si>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</si>
  <si>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</si>
  <si>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</si>
  <si>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</si>
  <si>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</si>
  <si>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</si>
  <si>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</si>
  <si>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</si>
  <si>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</si>
  <si>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</si>
  <si>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</si>
  <si>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</si>
  <si>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</si>
  <si>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</si>
  <si>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</si>
  <si>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</si>
  <si>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</si>
  <si>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</si>
  <si>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</si>
  <si>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</si>
  <si>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</si>
  <si>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</si>
  <si>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</si>
  <si>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</si>
  <si>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</si>
  <si>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</si>
  <si>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</si>
  <si>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</si>
  <si>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</si>
  <si>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</si>
  <si>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</si>
  <si>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</si>
  <si>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</si>
  <si>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</si>
  <si>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</si>
  <si>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</si>
  <si>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</si>
  <si>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</si>
  <si>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</si>
  <si>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</si>
  <si>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</si>
  <si>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</si>
  <si>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</si>
  <si>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</si>
  <si>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</si>
  <si>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</si>
  <si>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</si>
  <si>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</si>
  <si>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</si>
  <si>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</si>
  <si>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</si>
  <si>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</si>
  <si>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</si>
  <si>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</si>
  <si>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</si>
  <si>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</si>
  <si>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</si>
  <si>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</si>
  <si>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</si>
  <si>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</si>
  <si>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</si>
  <si>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</si>
  <si>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</si>
  <si>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</si>
  <si>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</si>
  <si>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</si>
  <si>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</si>
  <si>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</si>
  <si>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</si>
  <si>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</si>
  <si>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</si>
  <si>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</si>
  <si>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</si>
  <si>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</si>
  <si>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</si>
  <si>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</si>
  <si>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</si>
  <si>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</si>
  <si>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</si>
  <si>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</si>
  <si>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</si>
  <si>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</si>
  <si>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</si>
  <si>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</si>
  <si>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</si>
  <si>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</si>
  <si>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</si>
  <si>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</si>
  <si>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</si>
  <si>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</si>
  <si>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</si>
  <si>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</si>
  <si>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</si>
  <si>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</si>
  <si>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</si>
  <si>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</si>
  <si>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</si>
  <si>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</si>
  <si>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</si>
  <si>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</si>
  <si>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</si>
  <si>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</si>
  <si>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</si>
  <si>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</si>
  <si>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</si>
  <si>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</si>
  <si>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</si>
  <si>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</si>
  <si>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</si>
  <si>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</si>
  <si>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</si>
  <si>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</si>
  <si>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</si>
  <si>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</si>
  <si>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</si>
  <si>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</si>
  <si>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</si>
  <si>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</si>
  <si>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</si>
  <si>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</si>
  <si>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</si>
  <si>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</si>
  <si>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</si>
  <si>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</si>
  <si>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</si>
  <si>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</si>
  <si>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</si>
  <si>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</si>
  <si>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</si>
  <si>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</si>
  <si>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</si>
  <si>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</si>
  <si>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</si>
  <si>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</si>
  <si>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</si>
  <si>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</si>
  <si>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</si>
  <si>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</si>
  <si>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</si>
  <si>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</si>
  <si>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</si>
  <si>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</si>
  <si>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</si>
  <si>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</si>
  <si>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</si>
  <si>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</si>
  <si>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</si>
  <si>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</si>
  <si>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</si>
  <si>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</si>
  <si>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</si>
  <si>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</si>
  <si>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</si>
  <si>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</si>
  <si>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</si>
  <si>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</si>
  <si>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</si>
  <si>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</si>
  <si>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</si>
  <si>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</si>
  <si>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</si>
  <si>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</si>
  <si>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</si>
  <si>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</si>
  <si>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</si>
  <si>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</si>
  <si>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</si>
  <si>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</si>
  <si>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</si>
  <si>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</si>
  <si>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</si>
  <si>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</si>
  <si>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</si>
  <si>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</si>
  <si>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</si>
  <si>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</si>
  <si>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</si>
  <si>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</si>
  <si>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</si>
  <si>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</si>
  <si>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</si>
  <si>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</si>
  <si>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</si>
  <si>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</si>
  <si>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</si>
  <si>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</si>
  <si>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</si>
  <si>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</si>
  <si>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</si>
  <si>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</si>
  <si>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</si>
  <si>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</si>
  <si>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</si>
  <si>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</si>
  <si>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</si>
  <si>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</si>
  <si>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</si>
  <si>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</si>
  <si>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</si>
  <si>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</si>
  <si>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</si>
  <si>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</si>
  <si>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</si>
  <si>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</si>
  <si>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</si>
  <si>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</si>
  <si>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</si>
  <si>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</si>
  <si>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</si>
  <si>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</si>
  <si>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</si>
  <si>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</si>
  <si>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</si>
  <si>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</si>
  <si>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</si>
  <si>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</si>
  <si>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</si>
  <si>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</si>
  <si>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</si>
  <si>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</si>
  <si>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</si>
  <si>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</si>
  <si>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</si>
  <si>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</si>
  <si>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</si>
  <si>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</si>
  <si>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</si>
  <si>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</si>
  <si>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</si>
  <si>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</si>
  <si>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</si>
  <si>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</si>
  <si>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</si>
  <si>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</si>
  <si>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</si>
  <si>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</si>
  <si>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</si>
  <si>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</si>
  <si>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</si>
  <si>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</si>
  <si>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</si>
  <si>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</si>
  <si>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</si>
  <si>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</si>
  <si>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</si>
  <si>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</si>
  <si>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</si>
  <si>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</si>
  <si>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</si>
  <si>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</si>
  <si>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</si>
  <si>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</si>
  <si>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</si>
  <si>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</si>
  <si>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</si>
  <si>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</si>
  <si>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</si>
  <si>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</si>
  <si>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</si>
  <si>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</si>
  <si>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</si>
  <si>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</si>
  <si>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</si>
  <si>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</si>
  <si>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</si>
  <si>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</si>
  <si>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</si>
  <si>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</si>
  <si>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</si>
  <si>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</si>
  <si>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</si>
  <si>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</si>
  <si>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</si>
  <si>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</si>
  <si>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</si>
  <si>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</si>
  <si>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</si>
  <si>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</si>
  <si>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</si>
  <si>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</si>
  <si>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</si>
  <si>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</si>
  <si>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</si>
  <si>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</si>
  <si>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</si>
  <si>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</si>
  <si>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</si>
  <si>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</si>
  <si>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</si>
  <si>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</si>
  <si>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</si>
  <si>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</si>
  <si>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</si>
  <si>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</si>
  <si>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</si>
  <si>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</si>
  <si>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</si>
  <si>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</si>
  <si>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</si>
  <si>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</si>
  <si>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</si>
  <si>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</si>
  <si>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</si>
  <si>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</si>
  <si>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</si>
  <si>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</si>
  <si>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</si>
  <si>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</si>
  <si>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</si>
  <si>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</si>
  <si>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</si>
  <si>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</si>
  <si>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</si>
  <si>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</si>
  <si>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</si>
  <si>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</si>
  <si>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</si>
  <si>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</si>
  <si>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</si>
  <si>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</si>
  <si>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</si>
  <si>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</si>
  <si>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</si>
  <si>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</si>
  <si>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</si>
  <si>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</si>
  <si>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</si>
  <si>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</si>
  <si>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</si>
  <si>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</si>
  <si>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</si>
  <si>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</si>
  <si>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</si>
  <si>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</si>
  <si>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</si>
  <si>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</si>
  <si>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</si>
  <si>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</si>
  <si>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</si>
  <si>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</si>
  <si>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</si>
  <si>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</si>
  <si>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</si>
  <si>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</si>
  <si>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</si>
  <si>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</si>
  <si>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</si>
  <si>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</si>
  <si>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</si>
  <si>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</si>
  <si>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</si>
  <si>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</si>
  <si>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</si>
  <si>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</si>
  <si>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</si>
  <si>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</si>
  <si>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</si>
  <si>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</si>
  <si>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</si>
  <si>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</si>
  <si>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</si>
  <si>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</si>
  <si>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</si>
  <si>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</si>
  <si>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</si>
  <si>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</si>
  <si>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</si>
  <si>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</si>
  <si>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</si>
  <si>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</si>
  <si>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</si>
  <si>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</si>
  <si>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</si>
  <si>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</si>
  <si>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</si>
  <si>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</si>
  <si>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</si>
  <si>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</si>
  <si>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</si>
  <si>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</si>
  <si>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</si>
  <si>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</si>
  <si>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</si>
  <si>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</si>
  <si>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</si>
  <si>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</si>
  <si>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</si>
  <si>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</si>
  <si>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</si>
  <si>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</si>
  <si>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</si>
  <si>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</si>
  <si>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</si>
  <si>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</si>
  <si>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</si>
  <si>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</si>
  <si>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</si>
  <si>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</si>
  <si>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</si>
  <si>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</si>
  <si>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</si>
  <si>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</si>
  <si>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</si>
  <si>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</si>
  <si>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</si>
  <si>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</si>
  <si>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</si>
  <si>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</si>
  <si>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</si>
  <si>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</si>
  <si>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</si>
  <si>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</si>
  <si>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</si>
  <si>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</si>
  <si>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</si>
  <si>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</si>
  <si>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</si>
  <si>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</si>
  <si>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</si>
  <si>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</si>
  <si>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</si>
  <si>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</si>
  <si>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</si>
  <si>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</si>
  <si>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</si>
  <si>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</si>
  <si>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</si>
  <si>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</si>
  <si>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</si>
  <si>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</si>
  <si>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</si>
  <si>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</si>
  <si>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</si>
  <si>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</si>
  <si>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</si>
  <si>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</si>
  <si>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</si>
  <si>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</si>
  <si>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</si>
  <si>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</si>
  <si>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</si>
  <si>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</si>
  <si>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</si>
  <si>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</si>
  <si>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</si>
  <si>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</si>
  <si>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</si>
  <si>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</si>
  <si>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</si>
  <si>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</si>
  <si>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</si>
  <si>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</si>
  <si>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</si>
  <si>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</si>
  <si>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</si>
  <si>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</si>
  <si>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</si>
  <si>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</si>
  <si>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</si>
  <si>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</si>
  <si>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</si>
  <si>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</si>
  <si>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</si>
  <si>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</si>
  <si>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</si>
  <si>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</si>
  <si>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</si>
  <si>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</si>
  <si>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</si>
  <si>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</si>
  <si>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</si>
  <si>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</si>
  <si>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</si>
  <si>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</si>
  <si>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</si>
  <si>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</si>
  <si>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</si>
  <si>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</si>
  <si>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</si>
  <si>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</si>
  <si>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</si>
  <si>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</si>
  <si>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</si>
  <si>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</si>
  <si>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</si>
  <si>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</si>
  <si>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</si>
  <si>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</si>
  <si>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</si>
  <si>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</si>
  <si>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</si>
  <si>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</si>
  <si>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</si>
  <si>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</si>
  <si>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</si>
  <si>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</si>
  <si>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</si>
  <si>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</si>
  <si>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</si>
  <si>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</si>
  <si>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</si>
  <si>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</si>
  <si>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</si>
  <si>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</si>
  <si>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</si>
  <si>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</si>
  <si>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</si>
  <si>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</si>
  <si>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</si>
  <si>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</si>
  <si>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</si>
  <si>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</si>
  <si>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</si>
  <si>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</si>
  <si>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</si>
  <si>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</si>
  <si>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</si>
  <si>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</si>
  <si>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</si>
  <si>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</si>
  <si>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</si>
  <si>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</si>
  <si>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</si>
  <si>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</si>
  <si>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</si>
  <si>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</si>
  <si>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</si>
  <si>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</si>
  <si>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</si>
  <si>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</si>
  <si>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</si>
  <si>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</si>
  <si>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</si>
  <si>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</si>
  <si>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</si>
  <si>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</si>
  <si>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</si>
  <si>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</si>
  <si>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</si>
  <si>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</si>
  <si>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</si>
  <si>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</si>
  <si>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</si>
  <si>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</si>
  <si>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</si>
  <si>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</si>
  <si>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</si>
  <si>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</si>
  <si>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</si>
  <si>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</si>
  <si>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</si>
  <si>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</si>
  <si>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</si>
  <si>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</si>
  <si>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</si>
  <si>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</si>
  <si>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</si>
  <si>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</si>
  <si>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</si>
  <si>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</si>
  <si>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</si>
  <si>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</si>
  <si>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</si>
  <si>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</si>
  <si>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</si>
  <si>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</si>
  <si>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</si>
  <si>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</si>
  <si>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</si>
  <si>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</si>
  <si>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</si>
  <si>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</si>
  <si>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</si>
  <si>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</si>
  <si>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</si>
  <si>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</si>
  <si>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</si>
  <si>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</si>
  <si>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</si>
  <si>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</si>
  <si>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</si>
  <si>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</si>
  <si>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</si>
  <si>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</si>
  <si>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</si>
  <si>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</si>
  <si>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</si>
  <si>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</si>
  <si>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</si>
  <si>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</si>
  <si>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</si>
  <si>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</si>
  <si>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</si>
  <si>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</si>
  <si>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</si>
  <si>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</si>
  <si>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</si>
  <si>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</si>
  <si>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</si>
  <si>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</si>
  <si>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</si>
  <si>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</si>
  <si>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</si>
  <si>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</si>
  <si>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</si>
  <si>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</si>
  <si>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</si>
  <si>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</si>
  <si>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</si>
  <si>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</si>
  <si>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</si>
  <si>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</si>
  <si>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</si>
  <si>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</si>
  <si>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</si>
  <si>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</si>
  <si>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</si>
  <si>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</si>
  <si>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</si>
  <si>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</si>
  <si>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</si>
  <si>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</si>
  <si>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</si>
  <si>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</si>
  <si>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</si>
  <si>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</si>
  <si>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</si>
  <si>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</si>
  <si>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</si>
  <si>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</si>
  <si>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</si>
  <si>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</si>
  <si>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</si>
  <si>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</si>
  <si>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</si>
  <si>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</si>
  <si>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</si>
  <si>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</si>
  <si>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</si>
  <si>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</si>
  <si>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</si>
  <si>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</si>
  <si>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</si>
  <si>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</si>
  <si>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</si>
  <si>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</si>
  <si>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</si>
  <si>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</si>
  <si>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</si>
  <si>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</si>
  <si>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</si>
  <si>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</si>
  <si>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</si>
  <si>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</si>
  <si>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</si>
  <si>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</si>
  <si>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</si>
  <si>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</si>
  <si>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</si>
  <si>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</si>
  <si>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</si>
  <si>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</si>
  <si>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</si>
  <si>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</si>
  <si>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</si>
  <si>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</si>
  <si>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</si>
  <si>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</si>
  <si>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</si>
  <si>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</si>
  <si>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</si>
  <si>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</si>
  <si>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</si>
  <si>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</si>
  <si>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</si>
  <si>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</si>
  <si>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</si>
  <si>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</si>
  <si>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</si>
  <si>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</si>
  <si>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</si>
  <si>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</si>
  <si>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</si>
  <si>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</si>
  <si>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</si>
  <si>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</si>
  <si>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</si>
  <si>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</si>
  <si>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</si>
  <si>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</si>
  <si>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</si>
  <si>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</si>
  <si>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</si>
  <si>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</si>
  <si>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</si>
  <si>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</si>
  <si>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</si>
  <si>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</si>
  <si>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</si>
  <si>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</si>
  <si>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</si>
  <si>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</si>
  <si>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</si>
  <si>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</si>
  <si>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</si>
  <si>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</si>
  <si>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</si>
  <si>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</si>
  <si>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</si>
  <si>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</si>
  <si>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</si>
  <si>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</si>
  <si>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</si>
  <si>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</si>
  <si>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</si>
  <si>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</si>
  <si>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</si>
  <si>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</si>
  <si>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</si>
  <si>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</si>
  <si>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</si>
  <si>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</si>
  <si>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</si>
  <si>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</si>
  <si>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</si>
  <si>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</si>
  <si>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</si>
  <si>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</si>
  <si>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36010</t>
  </si>
  <si>
    <t>LEDEGEM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</si>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</sst>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83904.354298336766</c:v>
                </c:pt>
                <c:pt idx="1">
                  <c:v>18775.636183569561</c:v>
                </c:pt>
                <c:pt idx="2">
                  <c:v>656.90099999999995</c:v>
                </c:pt>
                <c:pt idx="3">
                  <c:v>10405.946763924678</c:v>
                </c:pt>
                <c:pt idx="4">
                  <c:v>15150.784925425942</c:v>
                </c:pt>
                <c:pt idx="5">
                  <c:v>99478.910277178336</c:v>
                </c:pt>
                <c:pt idx="6">
                  <c:v>649.57380273298384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83904.354298336766</c:v>
                </c:pt>
                <c:pt idx="1">
                  <c:v>18775.636183569561</c:v>
                </c:pt>
                <c:pt idx="2">
                  <c:v>656.90099999999995</c:v>
                </c:pt>
                <c:pt idx="3">
                  <c:v>10405.946763924678</c:v>
                </c:pt>
                <c:pt idx="4">
                  <c:v>15150.784925425942</c:v>
                </c:pt>
                <c:pt idx="5">
                  <c:v>99478.910277178336</c:v>
                </c:pt>
                <c:pt idx="6">
                  <c:v>649.57380273298384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15342.951507556783</c:v>
                </c:pt>
                <c:pt idx="2">
                  <c:v>3817.33761775636</c:v>
                </c:pt>
                <c:pt idx="3">
                  <c:v>134.06940251870134</c:v>
                </c:pt>
                <c:pt idx="4">
                  <c:v>2629.7447826018997</c:v>
                </c:pt>
                <c:pt idx="5">
                  <c:v>3125.5401776556437</c:v>
                </c:pt>
                <c:pt idx="6">
                  <c:v>25166.964287274852</c:v>
                </c:pt>
                <c:pt idx="7">
                  <c:v>166.05148944598602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789248"/>
      </c:barChart>
      <c:catAx>
        <c:axId val="182787456"/>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15342.951507556783</c:v>
                </c:pt>
                <c:pt idx="2">
                  <c:v>3817.33761775636</c:v>
                </c:pt>
                <c:pt idx="3">
                  <c:v>134.06940251870134</c:v>
                </c:pt>
                <c:pt idx="4">
                  <c:v>2629.7447826018997</c:v>
                </c:pt>
                <c:pt idx="5">
                  <c:v>3125.5401776556437</c:v>
                </c:pt>
                <c:pt idx="6">
                  <c:v>25166.964287274852</c:v>
                </c:pt>
                <c:pt idx="7">
                  <c:v>166.05148944598602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36010</v>
      </c>
      <c r="B6" s="398"/>
      <c r="C6" s="399"/>
    </row>
    <row r="7" spans="1:7" s="396" customFormat="1" ht="15.75" customHeight="1">
      <c r="A7" s="400" t="str">
        <f>txtMunicipality</f>
        <v>LEDEGEM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9067.2959572866566</v>
      </c>
      <c r="D10" s="690">
        <f ca="1">tertiair!C16</f>
        <v>0</v>
      </c>
      <c r="E10" s="690">
        <f ca="1">tertiair!D16</f>
        <v>8157.4192039999998</v>
      </c>
      <c r="F10" s="690">
        <f>tertiair!E16</f>
        <v>116.73133101045563</v>
      </c>
      <c r="G10" s="690">
        <f ca="1">tertiair!F16</f>
        <v>1597.4970064111615</v>
      </c>
      <c r="H10" s="690">
        <f>tertiair!G16</f>
        <v>0</v>
      </c>
      <c r="I10" s="690">
        <f>tertiair!H16</f>
        <v>0</v>
      </c>
      <c r="J10" s="690">
        <f>tertiair!I16</f>
        <v>0</v>
      </c>
      <c r="K10" s="690">
        <f>tertiair!J16</f>
        <v>0</v>
      </c>
      <c r="L10" s="690">
        <f>tertiair!K16</f>
        <v>0</v>
      </c>
      <c r="M10" s="690">
        <f ca="1">tertiair!L16</f>
        <v>0</v>
      </c>
      <c r="N10" s="690">
        <f>tertiair!M16</f>
        <v>0</v>
      </c>
      <c r="O10" s="690">
        <f ca="1">tertiair!N16</f>
        <v>493.59368486128699</v>
      </c>
      <c r="P10" s="690">
        <f>tertiair!O16</f>
        <v>0</v>
      </c>
      <c r="Q10" s="691">
        <f>tertiair!P16</f>
        <v>0</v>
      </c>
      <c r="R10" s="693">
        <f ca="1">SUM(C10:Q10)</f>
        <v>19432.537183569562</v>
      </c>
      <c r="S10" s="67"/>
    </row>
    <row r="11" spans="1:19" s="458" customFormat="1">
      <c r="A11" s="805" t="s">
        <v>225</v>
      </c>
      <c r="B11" s="810"/>
      <c r="C11" s="690">
        <f>huishoudens!B8</f>
        <v>16762.298999999999</v>
      </c>
      <c r="D11" s="690">
        <f>huishoudens!C8</f>
        <v>0</v>
      </c>
      <c r="E11" s="690">
        <f>huishoudens!D8</f>
        <v>41152.454010262045</v>
      </c>
      <c r="F11" s="690">
        <f>huishoudens!E8</f>
        <v>2066.3414220364898</v>
      </c>
      <c r="G11" s="690">
        <f>huishoudens!F8</f>
        <v>9662.1165852063041</v>
      </c>
      <c r="H11" s="690">
        <f>huishoudens!G8</f>
        <v>0</v>
      </c>
      <c r="I11" s="690">
        <f>huishoudens!H8</f>
        <v>0</v>
      </c>
      <c r="J11" s="690">
        <f>huishoudens!I8</f>
        <v>0</v>
      </c>
      <c r="K11" s="690">
        <f>huishoudens!J8</f>
        <v>1582.5715999556071</v>
      </c>
      <c r="L11" s="690">
        <f>huishoudens!K8</f>
        <v>0</v>
      </c>
      <c r="M11" s="690">
        <f>huishoudens!L8</f>
        <v>0</v>
      </c>
      <c r="N11" s="690">
        <f>huishoudens!M8</f>
        <v>0</v>
      </c>
      <c r="O11" s="690">
        <f>huishoudens!N8</f>
        <v>12331.26501420965</v>
      </c>
      <c r="P11" s="690">
        <f>huishoudens!O8</f>
        <v>137.57333333333335</v>
      </c>
      <c r="Q11" s="691">
        <f>huishoudens!P8</f>
        <v>209.73333333333335</v>
      </c>
      <c r="R11" s="693">
        <f>SUM(C11:Q11)</f>
        <v>83904.354298336766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5759.9420000000009</v>
      </c>
      <c r="D13" s="690">
        <f>industrie!C18</f>
        <v>0</v>
      </c>
      <c r="E13" s="690">
        <f>industrie!D18</f>
        <v>1985.6285240000002</v>
      </c>
      <c r="F13" s="690">
        <f>industrie!E18</f>
        <v>694.66616286448118</v>
      </c>
      <c r="G13" s="690">
        <f>industrie!F18</f>
        <v>5210.1519158241845</v>
      </c>
      <c r="H13" s="690">
        <f>industrie!G18</f>
        <v>0</v>
      </c>
      <c r="I13" s="690">
        <f>industrie!H18</f>
        <v>0</v>
      </c>
      <c r="J13" s="690">
        <f>industrie!I18</f>
        <v>0</v>
      </c>
      <c r="K13" s="690">
        <f>industrie!J18</f>
        <v>0.21228687816144923</v>
      </c>
      <c r="L13" s="690">
        <f>industrie!K18</f>
        <v>0</v>
      </c>
      <c r="M13" s="690">
        <f>industrie!L18</f>
        <v>0</v>
      </c>
      <c r="N13" s="690">
        <f>industrie!M18</f>
        <v>0</v>
      </c>
      <c r="O13" s="690">
        <f>industrie!N18</f>
        <v>1500.1840358591148</v>
      </c>
      <c r="P13" s="690">
        <f>industrie!O18</f>
        <v>0</v>
      </c>
      <c r="Q13" s="691">
        <f>industrie!P18</f>
        <v>0</v>
      </c>
      <c r="R13" s="693">
        <f>SUM(C13:Q13)</f>
        <v>15150.784925425942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31589.536957286655</v>
      </c>
      <c r="D16" s="725">
        <f t="shared" ref="D16:R16" ca="1" si="0">SUM(D9:D15)</f>
        <v>0</v>
      </c>
      <c r="E16" s="725">
        <f t="shared" ca="1" si="0"/>
        <v>51295.501738262043</v>
      </c>
      <c r="F16" s="725">
        <f t="shared" si="0"/>
        <v>2877.7389159114264</v>
      </c>
      <c r="G16" s="725">
        <f t="shared" ca="1" si="0"/>
        <v>16469.765507441651</v>
      </c>
      <c r="H16" s="725">
        <f t="shared" si="0"/>
        <v>0</v>
      </c>
      <c r="I16" s="725">
        <f t="shared" si="0"/>
        <v>0</v>
      </c>
      <c r="J16" s="725">
        <f t="shared" si="0"/>
        <v>0</v>
      </c>
      <c r="K16" s="725">
        <f t="shared" si="0"/>
        <v>1582.7838868337685</v>
      </c>
      <c r="L16" s="725">
        <f t="shared" si="0"/>
        <v>0</v>
      </c>
      <c r="M16" s="725">
        <f t="shared" ca="1" si="0"/>
        <v>0</v>
      </c>
      <c r="N16" s="725">
        <f t="shared" si="0"/>
        <v>0</v>
      </c>
      <c r="O16" s="725">
        <f t="shared" ca="1" si="0"/>
        <v>14325.042734930052</v>
      </c>
      <c r="P16" s="725">
        <f t="shared" si="0"/>
        <v>137.57333333333335</v>
      </c>
      <c r="Q16" s="725">
        <f t="shared" si="0"/>
        <v>209.73333333333335</v>
      </c>
      <c r="R16" s="725">
        <f t="shared" ca="1" si="0"/>
        <v>118487.67640733227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621.91569080893635</v>
      </c>
      <c r="I19" s="690">
        <f>transport!H54</f>
        <v>0</v>
      </c>
      <c r="J19" s="690">
        <f>transport!I54</f>
        <v>0</v>
      </c>
      <c r="K19" s="690">
        <f>transport!J54</f>
        <v>0</v>
      </c>
      <c r="L19" s="690">
        <f>transport!K54</f>
        <v>0</v>
      </c>
      <c r="M19" s="690">
        <f>transport!L54</f>
        <v>0</v>
      </c>
      <c r="N19" s="690">
        <f>transport!M54</f>
        <v>27.658111924047525</v>
      </c>
      <c r="O19" s="690">
        <f>transport!N54</f>
        <v>0</v>
      </c>
      <c r="P19" s="690">
        <f>transport!O54</f>
        <v>0</v>
      </c>
      <c r="Q19" s="691">
        <f>transport!P54</f>
        <v>0</v>
      </c>
      <c r="R19" s="693">
        <f>SUM(C19:Q19)</f>
        <v>649.57380273298384</v>
      </c>
      <c r="S19" s="67"/>
    </row>
    <row r="20" spans="1:19" s="458" customFormat="1">
      <c r="A20" s="805" t="s">
        <v>307</v>
      </c>
      <c r="B20" s="810"/>
      <c r="C20" s="690">
        <f>transport!B14</f>
        <v>4.9430509873474238</v>
      </c>
      <c r="D20" s="690">
        <f>transport!C14</f>
        <v>0</v>
      </c>
      <c r="E20" s="690">
        <f>transport!D14</f>
        <v>8.5804891150851557</v>
      </c>
      <c r="F20" s="690">
        <f>transport!E14</f>
        <v>297.86138020172513</v>
      </c>
      <c r="G20" s="690">
        <f>transport!F14</f>
        <v>0</v>
      </c>
      <c r="H20" s="690">
        <f>transport!G14</f>
        <v>81759.894387251828</v>
      </c>
      <c r="I20" s="690">
        <f>transport!H14</f>
        <v>13119.340754431325</v>
      </c>
      <c r="J20" s="690">
        <f>transport!I14</f>
        <v>0</v>
      </c>
      <c r="K20" s="690">
        <f>transport!J14</f>
        <v>0</v>
      </c>
      <c r="L20" s="690">
        <f>transport!K14</f>
        <v>0</v>
      </c>
      <c r="M20" s="690">
        <f>transport!L14</f>
        <v>0</v>
      </c>
      <c r="N20" s="690">
        <f>transport!M14</f>
        <v>4288.2902151910312</v>
      </c>
      <c r="O20" s="690">
        <f>transport!N14</f>
        <v>0</v>
      </c>
      <c r="P20" s="690">
        <f>transport!O14</f>
        <v>0</v>
      </c>
      <c r="Q20" s="691">
        <f>transport!P14</f>
        <v>0</v>
      </c>
      <c r="R20" s="693">
        <f>SUM(C20:Q20)</f>
        <v>99478.910277178336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4.9430509873474238</v>
      </c>
      <c r="D22" s="808">
        <f t="shared" ref="D22:R22" si="1">SUM(D18:D21)</f>
        <v>0</v>
      </c>
      <c r="E22" s="808">
        <f t="shared" si="1"/>
        <v>8.5804891150851557</v>
      </c>
      <c r="F22" s="808">
        <f t="shared" si="1"/>
        <v>297.86138020172513</v>
      </c>
      <c r="G22" s="808">
        <f t="shared" si="1"/>
        <v>0</v>
      </c>
      <c r="H22" s="808">
        <f t="shared" si="1"/>
        <v>82381.810078060764</v>
      </c>
      <c r="I22" s="808">
        <f t="shared" si="1"/>
        <v>13119.340754431325</v>
      </c>
      <c r="J22" s="808">
        <f t="shared" si="1"/>
        <v>0</v>
      </c>
      <c r="K22" s="808">
        <f t="shared" si="1"/>
        <v>0</v>
      </c>
      <c r="L22" s="808">
        <f t="shared" si="1"/>
        <v>0</v>
      </c>
      <c r="M22" s="808">
        <f t="shared" si="1"/>
        <v>0</v>
      </c>
      <c r="N22" s="808">
        <f t="shared" si="1"/>
        <v>4315.9483271150784</v>
      </c>
      <c r="O22" s="808">
        <f t="shared" si="1"/>
        <v>0</v>
      </c>
      <c r="P22" s="808">
        <f t="shared" si="1"/>
        <v>0</v>
      </c>
      <c r="Q22" s="808">
        <f t="shared" si="1"/>
        <v>0</v>
      </c>
      <c r="R22" s="808">
        <f t="shared" si="1"/>
        <v>100128.48407991132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2114.915</v>
      </c>
      <c r="D24" s="690">
        <f>+landbouw!C8</f>
        <v>0</v>
      </c>
      <c r="E24" s="690">
        <f>+landbouw!D8</f>
        <v>649.33536800000002</v>
      </c>
      <c r="F24" s="690">
        <f>+landbouw!E8</f>
        <v>26.650653564480013</v>
      </c>
      <c r="G24" s="690">
        <f>+landbouw!F8</f>
        <v>7296.9865678654141</v>
      </c>
      <c r="H24" s="690">
        <f>+landbouw!G8</f>
        <v>0</v>
      </c>
      <c r="I24" s="690">
        <f>+landbouw!H8</f>
        <v>0</v>
      </c>
      <c r="J24" s="690">
        <f>+landbouw!I8</f>
        <v>0</v>
      </c>
      <c r="K24" s="690">
        <f>+landbouw!J8</f>
        <v>318.05917449478363</v>
      </c>
      <c r="L24" s="690">
        <f>+landbouw!K8</f>
        <v>0</v>
      </c>
      <c r="M24" s="690">
        <f>+landbouw!L8</f>
        <v>0</v>
      </c>
      <c r="N24" s="690">
        <f>+landbouw!M8</f>
        <v>0</v>
      </c>
      <c r="O24" s="690">
        <f>+landbouw!N8</f>
        <v>0</v>
      </c>
      <c r="P24" s="690">
        <f>+landbouw!O8</f>
        <v>0</v>
      </c>
      <c r="Q24" s="691">
        <f>+landbouw!P8</f>
        <v>0</v>
      </c>
      <c r="R24" s="693">
        <f>SUM(C24:Q24)</f>
        <v>10405.946763924678</v>
      </c>
      <c r="S24" s="67"/>
    </row>
    <row r="25" spans="1:19" s="458" customFormat="1" ht="15" thickBot="1">
      <c r="A25" s="827" t="s">
        <v>872</v>
      </c>
      <c r="B25" s="1004"/>
      <c r="C25" s="1005">
        <f>IF(Onbekend_ele_kWh="---",0,Onbekend_ele_kWh)/1000+IF(REST_rest_ele_kWh="---",0,REST_rest_ele_kWh)/1000</f>
        <v>958.43600000000004</v>
      </c>
      <c r="D25" s="1005"/>
      <c r="E25" s="1005">
        <f>IF(onbekend_gas_kWh="---",0,onbekend_gas_kWh)/1000+IF(REST_rest_gas_kWh="---",0,REST_rest_gas_kWh)/1000</f>
        <v>1837.89391445703</v>
      </c>
      <c r="F25" s="1005"/>
      <c r="G25" s="1005"/>
      <c r="H25" s="1005"/>
      <c r="I25" s="1005"/>
      <c r="J25" s="1005"/>
      <c r="K25" s="1005"/>
      <c r="L25" s="1005"/>
      <c r="M25" s="1005"/>
      <c r="N25" s="1005"/>
      <c r="O25" s="1005"/>
      <c r="P25" s="1005"/>
      <c r="Q25" s="1006"/>
      <c r="R25" s="693">
        <f>SUM(C25:Q25)</f>
        <v>2796.3299144570301</v>
      </c>
      <c r="S25" s="67"/>
    </row>
    <row r="26" spans="1:19" s="458" customFormat="1" ht="15.75" thickBot="1">
      <c r="A26" s="698" t="s">
        <v>873</v>
      </c>
      <c r="B26" s="813"/>
      <c r="C26" s="808">
        <f>SUM(C24:C25)</f>
        <v>3073.3510000000001</v>
      </c>
      <c r="D26" s="808">
        <f t="shared" ref="D26:R26" si="2">SUM(D24:D25)</f>
        <v>0</v>
      </c>
      <c r="E26" s="808">
        <f t="shared" si="2"/>
        <v>2487.22928245703</v>
      </c>
      <c r="F26" s="808">
        <f t="shared" si="2"/>
        <v>26.650653564480013</v>
      </c>
      <c r="G26" s="808">
        <f t="shared" si="2"/>
        <v>7296.9865678654141</v>
      </c>
      <c r="H26" s="808">
        <f t="shared" si="2"/>
        <v>0</v>
      </c>
      <c r="I26" s="808">
        <f t="shared" si="2"/>
        <v>0</v>
      </c>
      <c r="J26" s="808">
        <f t="shared" si="2"/>
        <v>0</v>
      </c>
      <c r="K26" s="808">
        <f t="shared" si="2"/>
        <v>318.05917449478363</v>
      </c>
      <c r="L26" s="808">
        <f t="shared" si="2"/>
        <v>0</v>
      </c>
      <c r="M26" s="808">
        <f t="shared" si="2"/>
        <v>0</v>
      </c>
      <c r="N26" s="808">
        <f t="shared" si="2"/>
        <v>0</v>
      </c>
      <c r="O26" s="808">
        <f t="shared" si="2"/>
        <v>0</v>
      </c>
      <c r="P26" s="808">
        <f t="shared" si="2"/>
        <v>0</v>
      </c>
      <c r="Q26" s="808">
        <f t="shared" si="2"/>
        <v>0</v>
      </c>
      <c r="R26" s="808">
        <f t="shared" si="2"/>
        <v>13202.276678381708</v>
      </c>
      <c r="S26" s="67"/>
    </row>
    <row r="27" spans="1:19" s="458" customFormat="1" ht="17.25" thickTop="1" thickBot="1">
      <c r="A27" s="699" t="s">
        <v>116</v>
      </c>
      <c r="B27" s="800"/>
      <c r="C27" s="700">
        <f ca="1">C22+C16+C26</f>
        <v>34667.831008274006</v>
      </c>
      <c r="D27" s="700">
        <f t="shared" ref="D27:R27" ca="1" si="3">D22+D16+D26</f>
        <v>0</v>
      </c>
      <c r="E27" s="700">
        <f t="shared" ca="1" si="3"/>
        <v>53791.311509834159</v>
      </c>
      <c r="F27" s="700">
        <f t="shared" si="3"/>
        <v>3202.2509496776315</v>
      </c>
      <c r="G27" s="700">
        <f t="shared" ca="1" si="3"/>
        <v>23766.752075307064</v>
      </c>
      <c r="H27" s="700">
        <f t="shared" si="3"/>
        <v>82381.810078060764</v>
      </c>
      <c r="I27" s="700">
        <f t="shared" si="3"/>
        <v>13119.340754431325</v>
      </c>
      <c r="J27" s="700">
        <f t="shared" si="3"/>
        <v>0</v>
      </c>
      <c r="K27" s="700">
        <f t="shared" si="3"/>
        <v>1900.8430613285523</v>
      </c>
      <c r="L27" s="700">
        <f t="shared" si="3"/>
        <v>0</v>
      </c>
      <c r="M27" s="700">
        <f t="shared" ca="1" si="3"/>
        <v>0</v>
      </c>
      <c r="N27" s="700">
        <f t="shared" si="3"/>
        <v>4315.9483271150784</v>
      </c>
      <c r="O27" s="700">
        <f t="shared" ca="1" si="3"/>
        <v>14325.042734930052</v>
      </c>
      <c r="P27" s="700">
        <f t="shared" si="3"/>
        <v>137.57333333333335</v>
      </c>
      <c r="Q27" s="700">
        <f t="shared" si="3"/>
        <v>209.73333333333335</v>
      </c>
      <c r="R27" s="700">
        <f t="shared" ca="1" si="3"/>
        <v>231818.43716562531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1850.5786282159081</v>
      </c>
      <c r="D40" s="690">
        <f ca="1">tertiair!C20</f>
        <v>0</v>
      </c>
      <c r="E40" s="690">
        <f ca="1">tertiair!D20</f>
        <v>1647.7986792080001</v>
      </c>
      <c r="F40" s="690">
        <f>tertiair!E20</f>
        <v>26.498012139373429</v>
      </c>
      <c r="G40" s="690">
        <f ca="1">tertiair!F20</f>
        <v>426.53170071178016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3951.4070202750613</v>
      </c>
    </row>
    <row r="41" spans="1:18">
      <c r="A41" s="818" t="s">
        <v>225</v>
      </c>
      <c r="B41" s="825"/>
      <c r="C41" s="690">
        <f ca="1">huishoudens!B12</f>
        <v>3421.0808200471993</v>
      </c>
      <c r="D41" s="690">
        <f ca="1">huishoudens!C12</f>
        <v>0</v>
      </c>
      <c r="E41" s="690">
        <f>huishoudens!D12</f>
        <v>8312.7957100729327</v>
      </c>
      <c r="F41" s="690">
        <f>huishoudens!E12</f>
        <v>469.05950280228319</v>
      </c>
      <c r="G41" s="690">
        <f>huishoudens!F12</f>
        <v>2579.7851282500833</v>
      </c>
      <c r="H41" s="690">
        <f>huishoudens!G12</f>
        <v>0</v>
      </c>
      <c r="I41" s="690">
        <f>huishoudens!H12</f>
        <v>0</v>
      </c>
      <c r="J41" s="690">
        <f>huishoudens!I12</f>
        <v>0</v>
      </c>
      <c r="K41" s="690">
        <f>huishoudens!J12</f>
        <v>560.23034638428487</v>
      </c>
      <c r="L41" s="690">
        <f>huishoudens!K12</f>
        <v>0</v>
      </c>
      <c r="M41" s="690">
        <f>huishoudens!L12</f>
        <v>0</v>
      </c>
      <c r="N41" s="690">
        <f>huishoudens!M12</f>
        <v>0</v>
      </c>
      <c r="O41" s="690">
        <f>huishoudens!N12</f>
        <v>0</v>
      </c>
      <c r="P41" s="690">
        <f>huishoudens!O12</f>
        <v>0</v>
      </c>
      <c r="Q41" s="767">
        <f>huishoudens!P12</f>
        <v>0</v>
      </c>
      <c r="R41" s="846">
        <f t="shared" ca="1" si="4"/>
        <v>15342.951507556783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1175.5682857574793</v>
      </c>
      <c r="D43" s="690">
        <f ca="1">industrie!C22</f>
        <v>0</v>
      </c>
      <c r="E43" s="690">
        <f>industrie!D22</f>
        <v>401.09696184800009</v>
      </c>
      <c r="F43" s="690">
        <f>industrie!E22</f>
        <v>157.68921897023722</v>
      </c>
      <c r="G43" s="690">
        <f>industrie!F22</f>
        <v>1391.1105615250574</v>
      </c>
      <c r="H43" s="690">
        <f>industrie!G22</f>
        <v>0</v>
      </c>
      <c r="I43" s="690">
        <f>industrie!H22</f>
        <v>0</v>
      </c>
      <c r="J43" s="690">
        <f>industrie!I22</f>
        <v>0</v>
      </c>
      <c r="K43" s="690">
        <f>industrie!J22</f>
        <v>7.5149554869153021E-2</v>
      </c>
      <c r="L43" s="690">
        <f>industrie!K22</f>
        <v>0</v>
      </c>
      <c r="M43" s="690">
        <f>industrie!L22</f>
        <v>0</v>
      </c>
      <c r="N43" s="690">
        <f>industrie!M22</f>
        <v>0</v>
      </c>
      <c r="O43" s="690">
        <f>industrie!N22</f>
        <v>0</v>
      </c>
      <c r="P43" s="690">
        <f>industrie!O22</f>
        <v>0</v>
      </c>
      <c r="Q43" s="767">
        <f>industrie!P22</f>
        <v>0</v>
      </c>
      <c r="R43" s="845">
        <f t="shared" ca="1" si="4"/>
        <v>3125.5401776556437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6447.2277340205865</v>
      </c>
      <c r="D46" s="725">
        <f t="shared" ref="D46:Q46" ca="1" si="5">SUM(D39:D45)</f>
        <v>0</v>
      </c>
      <c r="E46" s="725">
        <f t="shared" ca="1" si="5"/>
        <v>10361.691351128933</v>
      </c>
      <c r="F46" s="725">
        <f t="shared" si="5"/>
        <v>653.2467339118939</v>
      </c>
      <c r="G46" s="725">
        <f t="shared" ca="1" si="5"/>
        <v>4397.4273904869206</v>
      </c>
      <c r="H46" s="725">
        <f t="shared" si="5"/>
        <v>0</v>
      </c>
      <c r="I46" s="725">
        <f t="shared" si="5"/>
        <v>0</v>
      </c>
      <c r="J46" s="725">
        <f t="shared" si="5"/>
        <v>0</v>
      </c>
      <c r="K46" s="725">
        <f t="shared" si="5"/>
        <v>560.30549593915407</v>
      </c>
      <c r="L46" s="725">
        <f t="shared" si="5"/>
        <v>0</v>
      </c>
      <c r="M46" s="725">
        <f t="shared" ca="1" si="5"/>
        <v>0</v>
      </c>
      <c r="N46" s="725">
        <f t="shared" si="5"/>
        <v>0</v>
      </c>
      <c r="O46" s="725">
        <f t="shared" ca="1" si="5"/>
        <v>0</v>
      </c>
      <c r="P46" s="725">
        <f t="shared" si="5"/>
        <v>0</v>
      </c>
      <c r="Q46" s="725">
        <f t="shared" si="5"/>
        <v>0</v>
      </c>
      <c r="R46" s="725">
        <f ca="1">SUM(R39:R45)</f>
        <v>22419.898705487489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166.05148944598602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166.05148944598602</v>
      </c>
    </row>
    <row r="50" spans="1:18">
      <c r="A50" s="821" t="s">
        <v>307</v>
      </c>
      <c r="B50" s="831"/>
      <c r="C50" s="696">
        <f ca="1">transport!B18</f>
        <v>1.0088459181720624</v>
      </c>
      <c r="D50" s="696">
        <f>transport!C18</f>
        <v>0</v>
      </c>
      <c r="E50" s="696">
        <f>transport!D18</f>
        <v>1.7332588012472017</v>
      </c>
      <c r="F50" s="696">
        <f>transport!E18</f>
        <v>67.61453330579161</v>
      </c>
      <c r="G50" s="696">
        <f>transport!F18</f>
        <v>0</v>
      </c>
      <c r="H50" s="696">
        <f>transport!G18</f>
        <v>21829.891801396239</v>
      </c>
      <c r="I50" s="696">
        <f>transport!H18</f>
        <v>3266.7158478533997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25166.964287274852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1.0088459181720624</v>
      </c>
      <c r="D52" s="725">
        <f t="shared" ref="D52:Q52" ca="1" si="6">SUM(D48:D51)</f>
        <v>0</v>
      </c>
      <c r="E52" s="725">
        <f t="shared" si="6"/>
        <v>1.7332588012472017</v>
      </c>
      <c r="F52" s="725">
        <f t="shared" si="6"/>
        <v>67.61453330579161</v>
      </c>
      <c r="G52" s="725">
        <f t="shared" si="6"/>
        <v>0</v>
      </c>
      <c r="H52" s="725">
        <f t="shared" si="6"/>
        <v>21995.943290842224</v>
      </c>
      <c r="I52" s="725">
        <f t="shared" si="6"/>
        <v>3266.7158478533997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25333.015776720837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431.64097851554385</v>
      </c>
      <c r="D54" s="696">
        <f ca="1">+landbouw!C12</f>
        <v>0</v>
      </c>
      <c r="E54" s="696">
        <f>+landbouw!D12</f>
        <v>131.16574433600002</v>
      </c>
      <c r="F54" s="696">
        <f>+landbouw!E12</f>
        <v>6.0496983591369631</v>
      </c>
      <c r="G54" s="696">
        <f>+landbouw!F12</f>
        <v>1948.2954136200656</v>
      </c>
      <c r="H54" s="696">
        <f>+landbouw!G12</f>
        <v>0</v>
      </c>
      <c r="I54" s="696">
        <f>+landbouw!H12</f>
        <v>0</v>
      </c>
      <c r="J54" s="696">
        <f>+landbouw!I12</f>
        <v>0</v>
      </c>
      <c r="K54" s="696">
        <f>+landbouw!J12</f>
        <v>112.5929477711534</v>
      </c>
      <c r="L54" s="696">
        <f>+landbouw!K12</f>
        <v>0</v>
      </c>
      <c r="M54" s="696">
        <f>+landbouw!L12</f>
        <v>0</v>
      </c>
      <c r="N54" s="696">
        <f>+landbouw!M12</f>
        <v>0</v>
      </c>
      <c r="O54" s="696">
        <f>+landbouw!N12</f>
        <v>0</v>
      </c>
      <c r="P54" s="696">
        <f>+landbouw!O12</f>
        <v>0</v>
      </c>
      <c r="Q54" s="697">
        <f>+landbouw!P12</f>
        <v>0</v>
      </c>
      <c r="R54" s="724">
        <f ca="1">SUM(C54:Q54)</f>
        <v>2629.7447826018997</v>
      </c>
    </row>
    <row r="55" spans="1:18" ht="15" thickBot="1">
      <c r="A55" s="821" t="s">
        <v>872</v>
      </c>
      <c r="B55" s="831"/>
      <c r="C55" s="696">
        <f ca="1">C25*'EF ele_warmte'!B12</f>
        <v>195.61081787425206</v>
      </c>
      <c r="D55" s="696"/>
      <c r="E55" s="696">
        <f>E25*EF_CO2_aardgas</f>
        <v>371.25457072032009</v>
      </c>
      <c r="F55" s="696"/>
      <c r="G55" s="696"/>
      <c r="H55" s="696"/>
      <c r="I55" s="696"/>
      <c r="J55" s="696"/>
      <c r="K55" s="696"/>
      <c r="L55" s="696"/>
      <c r="M55" s="696"/>
      <c r="N55" s="696"/>
      <c r="O55" s="696"/>
      <c r="P55" s="696"/>
      <c r="Q55" s="697"/>
      <c r="R55" s="724">
        <f ca="1">SUM(C55:Q55)</f>
        <v>566.8653885945721</v>
      </c>
    </row>
    <row r="56" spans="1:18" ht="15.75" thickBot="1">
      <c r="A56" s="819" t="s">
        <v>873</v>
      </c>
      <c r="B56" s="832"/>
      <c r="C56" s="725">
        <f ca="1">SUM(C54:C55)</f>
        <v>627.25179638979591</v>
      </c>
      <c r="D56" s="725">
        <f t="shared" ref="D56:Q56" ca="1" si="7">SUM(D54:D55)</f>
        <v>0</v>
      </c>
      <c r="E56" s="725">
        <f t="shared" si="7"/>
        <v>502.42031505632008</v>
      </c>
      <c r="F56" s="725">
        <f t="shared" si="7"/>
        <v>6.0496983591369631</v>
      </c>
      <c r="G56" s="725">
        <f t="shared" si="7"/>
        <v>1948.2954136200656</v>
      </c>
      <c r="H56" s="725">
        <f t="shared" si="7"/>
        <v>0</v>
      </c>
      <c r="I56" s="725">
        <f t="shared" si="7"/>
        <v>0</v>
      </c>
      <c r="J56" s="725">
        <f t="shared" si="7"/>
        <v>0</v>
      </c>
      <c r="K56" s="725">
        <f t="shared" si="7"/>
        <v>112.5929477711534</v>
      </c>
      <c r="L56" s="725">
        <f t="shared" si="7"/>
        <v>0</v>
      </c>
      <c r="M56" s="725">
        <f t="shared" si="7"/>
        <v>0</v>
      </c>
      <c r="N56" s="725">
        <f t="shared" si="7"/>
        <v>0</v>
      </c>
      <c r="O56" s="725">
        <f t="shared" si="7"/>
        <v>0</v>
      </c>
      <c r="P56" s="725">
        <f t="shared" si="7"/>
        <v>0</v>
      </c>
      <c r="Q56" s="726">
        <f t="shared" si="7"/>
        <v>0</v>
      </c>
      <c r="R56" s="727">
        <f ca="1">SUM(R54:R55)</f>
        <v>3196.610171196472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7075.4883763285552</v>
      </c>
      <c r="D61" s="733">
        <f t="shared" ref="D61:Q61" ca="1" si="8">D46+D52+D56</f>
        <v>0</v>
      </c>
      <c r="E61" s="733">
        <f t="shared" ca="1" si="8"/>
        <v>10865.844924986501</v>
      </c>
      <c r="F61" s="733">
        <f t="shared" si="8"/>
        <v>726.91096557682249</v>
      </c>
      <c r="G61" s="733">
        <f t="shared" ca="1" si="8"/>
        <v>6345.7228041069866</v>
      </c>
      <c r="H61" s="733">
        <f t="shared" si="8"/>
        <v>21995.943290842224</v>
      </c>
      <c r="I61" s="733">
        <f t="shared" si="8"/>
        <v>3266.7158478533997</v>
      </c>
      <c r="J61" s="733">
        <f t="shared" si="8"/>
        <v>0</v>
      </c>
      <c r="K61" s="733">
        <f t="shared" si="8"/>
        <v>672.89844371030745</v>
      </c>
      <c r="L61" s="733">
        <f t="shared" si="8"/>
        <v>0</v>
      </c>
      <c r="M61" s="733">
        <f t="shared" ca="1" si="8"/>
        <v>0</v>
      </c>
      <c r="N61" s="733">
        <f t="shared" si="8"/>
        <v>0</v>
      </c>
      <c r="O61" s="733">
        <f t="shared" ca="1" si="8"/>
        <v>0</v>
      </c>
      <c r="P61" s="733">
        <f t="shared" si="8"/>
        <v>0</v>
      </c>
      <c r="Q61" s="733">
        <f t="shared" si="8"/>
        <v>0</v>
      </c>
      <c r="R61" s="733">
        <f ca="1">R46+R52+R56</f>
        <v>50949.524653404798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0.20409377138823256</v>
      </c>
      <c r="D63" s="776">
        <f t="shared" ca="1" si="9"/>
        <v>0</v>
      </c>
      <c r="E63" s="1011">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2652.0464999999999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2652.0464999999999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16762.298999999999</v>
      </c>
      <c r="C4" s="462">
        <f>huishoudens!C8</f>
        <v>0</v>
      </c>
      <c r="D4" s="462">
        <f>huishoudens!D8</f>
        <v>41152.454010262045</v>
      </c>
      <c r="E4" s="462">
        <f>huishoudens!E8</f>
        <v>2066.3414220364898</v>
      </c>
      <c r="F4" s="462">
        <f>huishoudens!F8</f>
        <v>9662.1165852063041</v>
      </c>
      <c r="G4" s="462">
        <f>huishoudens!G8</f>
        <v>0</v>
      </c>
      <c r="H4" s="462">
        <f>huishoudens!H8</f>
        <v>0</v>
      </c>
      <c r="I4" s="462">
        <f>huishoudens!I8</f>
        <v>0</v>
      </c>
      <c r="J4" s="462">
        <f>huishoudens!J8</f>
        <v>1582.5715999556071</v>
      </c>
      <c r="K4" s="462">
        <f>huishoudens!K8</f>
        <v>0</v>
      </c>
      <c r="L4" s="462">
        <f>huishoudens!L8</f>
        <v>0</v>
      </c>
      <c r="M4" s="462">
        <f>huishoudens!M8</f>
        <v>0</v>
      </c>
      <c r="N4" s="462">
        <f>huishoudens!N8</f>
        <v>12331.26501420965</v>
      </c>
      <c r="O4" s="462">
        <f>huishoudens!O8</f>
        <v>137.57333333333335</v>
      </c>
      <c r="P4" s="463">
        <f>huishoudens!P8</f>
        <v>209.73333333333335</v>
      </c>
      <c r="Q4" s="464">
        <f>SUM(B4:P4)</f>
        <v>83904.354298336766</v>
      </c>
    </row>
    <row r="5" spans="1:17">
      <c r="A5" s="461" t="s">
        <v>156</v>
      </c>
      <c r="B5" s="462">
        <f ca="1">tertiair!B16</f>
        <v>8410.3949572866568</v>
      </c>
      <c r="C5" s="462">
        <f ca="1">tertiair!C16</f>
        <v>0</v>
      </c>
      <c r="D5" s="462">
        <f ca="1">tertiair!D16</f>
        <v>8157.4192039999998</v>
      </c>
      <c r="E5" s="462">
        <f>tertiair!E16</f>
        <v>116.73133101045563</v>
      </c>
      <c r="F5" s="462">
        <f ca="1">tertiair!F16</f>
        <v>1597.4970064111615</v>
      </c>
      <c r="G5" s="462">
        <f>tertiair!G16</f>
        <v>0</v>
      </c>
      <c r="H5" s="462">
        <f>tertiair!H16</f>
        <v>0</v>
      </c>
      <c r="I5" s="462">
        <f>tertiair!I16</f>
        <v>0</v>
      </c>
      <c r="J5" s="462">
        <f>tertiair!J16</f>
        <v>0</v>
      </c>
      <c r="K5" s="462">
        <f>tertiair!K16</f>
        <v>0</v>
      </c>
      <c r="L5" s="462">
        <f ca="1">tertiair!L16</f>
        <v>0</v>
      </c>
      <c r="M5" s="462">
        <f>tertiair!M16</f>
        <v>0</v>
      </c>
      <c r="N5" s="462">
        <f ca="1">tertiair!N16</f>
        <v>493.59368486128699</v>
      </c>
      <c r="O5" s="462">
        <f>tertiair!O16</f>
        <v>0</v>
      </c>
      <c r="P5" s="463">
        <f>tertiair!P16</f>
        <v>0</v>
      </c>
      <c r="Q5" s="461">
        <f t="shared" ref="Q5:Q14" ca="1" si="0">SUM(B5:P5)</f>
        <v>18775.636183569561</v>
      </c>
    </row>
    <row r="6" spans="1:17">
      <c r="A6" s="461" t="s">
        <v>194</v>
      </c>
      <c r="B6" s="462">
        <f>'openbare verlichting'!B8</f>
        <v>656.90099999999995</v>
      </c>
      <c r="C6" s="462"/>
      <c r="D6" s="462"/>
      <c r="E6" s="462"/>
      <c r="F6" s="462"/>
      <c r="G6" s="462"/>
      <c r="H6" s="462"/>
      <c r="I6" s="462"/>
      <c r="J6" s="462"/>
      <c r="K6" s="462"/>
      <c r="L6" s="462"/>
      <c r="M6" s="462"/>
      <c r="N6" s="462"/>
      <c r="O6" s="462"/>
      <c r="P6" s="463"/>
      <c r="Q6" s="461">
        <f t="shared" si="0"/>
        <v>656.90099999999995</v>
      </c>
    </row>
    <row r="7" spans="1:17">
      <c r="A7" s="461" t="s">
        <v>112</v>
      </c>
      <c r="B7" s="462">
        <f>landbouw!B8</f>
        <v>2114.915</v>
      </c>
      <c r="C7" s="462">
        <f>landbouw!C8</f>
        <v>0</v>
      </c>
      <c r="D7" s="462">
        <f>landbouw!D8</f>
        <v>649.33536800000002</v>
      </c>
      <c r="E7" s="462">
        <f>landbouw!E8</f>
        <v>26.650653564480013</v>
      </c>
      <c r="F7" s="462">
        <f>landbouw!F8</f>
        <v>7296.9865678654141</v>
      </c>
      <c r="G7" s="462">
        <f>landbouw!G8</f>
        <v>0</v>
      </c>
      <c r="H7" s="462">
        <f>landbouw!H8</f>
        <v>0</v>
      </c>
      <c r="I7" s="462">
        <f>landbouw!I8</f>
        <v>0</v>
      </c>
      <c r="J7" s="462">
        <f>landbouw!J8</f>
        <v>318.05917449478363</v>
      </c>
      <c r="K7" s="462">
        <f>landbouw!K8</f>
        <v>0</v>
      </c>
      <c r="L7" s="462">
        <f>landbouw!L8</f>
        <v>0</v>
      </c>
      <c r="M7" s="462">
        <f>landbouw!M8</f>
        <v>0</v>
      </c>
      <c r="N7" s="462">
        <f>landbouw!N8</f>
        <v>0</v>
      </c>
      <c r="O7" s="462">
        <f>landbouw!O8</f>
        <v>0</v>
      </c>
      <c r="P7" s="463">
        <f>landbouw!P8</f>
        <v>0</v>
      </c>
      <c r="Q7" s="461">
        <f t="shared" si="0"/>
        <v>10405.946763924678</v>
      </c>
    </row>
    <row r="8" spans="1:17">
      <c r="A8" s="461" t="s">
        <v>657</v>
      </c>
      <c r="B8" s="462">
        <f>industrie!B18</f>
        <v>5759.9420000000009</v>
      </c>
      <c r="C8" s="462">
        <f>industrie!C18</f>
        <v>0</v>
      </c>
      <c r="D8" s="462">
        <f>industrie!D18</f>
        <v>1985.6285240000002</v>
      </c>
      <c r="E8" s="462">
        <f>industrie!E18</f>
        <v>694.66616286448118</v>
      </c>
      <c r="F8" s="462">
        <f>industrie!F18</f>
        <v>5210.1519158241845</v>
      </c>
      <c r="G8" s="462">
        <f>industrie!G18</f>
        <v>0</v>
      </c>
      <c r="H8" s="462">
        <f>industrie!H18</f>
        <v>0</v>
      </c>
      <c r="I8" s="462">
        <f>industrie!I18</f>
        <v>0</v>
      </c>
      <c r="J8" s="462">
        <f>industrie!J18</f>
        <v>0.21228687816144923</v>
      </c>
      <c r="K8" s="462">
        <f>industrie!K18</f>
        <v>0</v>
      </c>
      <c r="L8" s="462">
        <f>industrie!L18</f>
        <v>0</v>
      </c>
      <c r="M8" s="462">
        <f>industrie!M18</f>
        <v>0</v>
      </c>
      <c r="N8" s="462">
        <f>industrie!N18</f>
        <v>1500.1840358591148</v>
      </c>
      <c r="O8" s="462">
        <f>industrie!O18</f>
        <v>0</v>
      </c>
      <c r="P8" s="463">
        <f>industrie!P18</f>
        <v>0</v>
      </c>
      <c r="Q8" s="461">
        <f t="shared" si="0"/>
        <v>15150.784925425942</v>
      </c>
    </row>
    <row r="9" spans="1:17" s="467" customFormat="1">
      <c r="A9" s="465" t="s">
        <v>574</v>
      </c>
      <c r="B9" s="466">
        <f>transport!B14</f>
        <v>4.9430509873474238</v>
      </c>
      <c r="C9" s="466">
        <f>transport!C14</f>
        <v>0</v>
      </c>
      <c r="D9" s="466">
        <f>transport!D14</f>
        <v>8.5804891150851557</v>
      </c>
      <c r="E9" s="466">
        <f>transport!E14</f>
        <v>297.86138020172513</v>
      </c>
      <c r="F9" s="466">
        <f>transport!F14</f>
        <v>0</v>
      </c>
      <c r="G9" s="466">
        <f>transport!G14</f>
        <v>81759.894387251828</v>
      </c>
      <c r="H9" s="466">
        <f>transport!H14</f>
        <v>13119.340754431325</v>
      </c>
      <c r="I9" s="466">
        <f>transport!I14</f>
        <v>0</v>
      </c>
      <c r="J9" s="466">
        <f>transport!J14</f>
        <v>0</v>
      </c>
      <c r="K9" s="466">
        <f>transport!K14</f>
        <v>0</v>
      </c>
      <c r="L9" s="466">
        <f>transport!L14</f>
        <v>0</v>
      </c>
      <c r="M9" s="466">
        <f>transport!M14</f>
        <v>4288.2902151910312</v>
      </c>
      <c r="N9" s="466">
        <f>transport!N14</f>
        <v>0</v>
      </c>
      <c r="O9" s="466">
        <f>transport!O14</f>
        <v>0</v>
      </c>
      <c r="P9" s="466">
        <f>transport!P14</f>
        <v>0</v>
      </c>
      <c r="Q9" s="465">
        <f>SUM(B9:P9)</f>
        <v>99478.910277178336</v>
      </c>
    </row>
    <row r="10" spans="1:17">
      <c r="A10" s="461" t="s">
        <v>564</v>
      </c>
      <c r="B10" s="462">
        <f>transport!B54</f>
        <v>0</v>
      </c>
      <c r="C10" s="462">
        <f>transport!C54</f>
        <v>0</v>
      </c>
      <c r="D10" s="462">
        <f>transport!D54</f>
        <v>0</v>
      </c>
      <c r="E10" s="462">
        <f>transport!E54</f>
        <v>0</v>
      </c>
      <c r="F10" s="462">
        <f>transport!F54</f>
        <v>0</v>
      </c>
      <c r="G10" s="462">
        <f>transport!G54</f>
        <v>621.91569080893635</v>
      </c>
      <c r="H10" s="462">
        <f>transport!H54</f>
        <v>0</v>
      </c>
      <c r="I10" s="462">
        <f>transport!I54</f>
        <v>0</v>
      </c>
      <c r="J10" s="462">
        <f>transport!J54</f>
        <v>0</v>
      </c>
      <c r="K10" s="462">
        <f>transport!K54</f>
        <v>0</v>
      </c>
      <c r="L10" s="462">
        <f>transport!L54</f>
        <v>0</v>
      </c>
      <c r="M10" s="462">
        <f>transport!M54</f>
        <v>27.658111924047525</v>
      </c>
      <c r="N10" s="462">
        <f>transport!N54</f>
        <v>0</v>
      </c>
      <c r="O10" s="462">
        <f>transport!O54</f>
        <v>0</v>
      </c>
      <c r="P10" s="463">
        <f>transport!P54</f>
        <v>0</v>
      </c>
      <c r="Q10" s="461">
        <f t="shared" si="0"/>
        <v>649.57380273298384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958.43600000000004</v>
      </c>
      <c r="C14" s="469"/>
      <c r="D14" s="469">
        <f>'SEAP template'!E25</f>
        <v>1837.89391445703</v>
      </c>
      <c r="E14" s="469"/>
      <c r="F14" s="469"/>
      <c r="G14" s="469"/>
      <c r="H14" s="469"/>
      <c r="I14" s="469"/>
      <c r="J14" s="469"/>
      <c r="K14" s="469"/>
      <c r="L14" s="469"/>
      <c r="M14" s="469"/>
      <c r="N14" s="469"/>
      <c r="O14" s="469"/>
      <c r="P14" s="470"/>
      <c r="Q14" s="461">
        <f t="shared" si="0"/>
        <v>2796.3299144570301</v>
      </c>
    </row>
    <row r="15" spans="1:17" s="474" customFormat="1">
      <c r="A15" s="471" t="s">
        <v>568</v>
      </c>
      <c r="B15" s="472">
        <f ca="1">SUM(B4:B14)</f>
        <v>34667.831008274006</v>
      </c>
      <c r="C15" s="472">
        <f t="shared" ref="C15:Q15" ca="1" si="1">SUM(C4:C14)</f>
        <v>0</v>
      </c>
      <c r="D15" s="472">
        <f t="shared" ca="1" si="1"/>
        <v>53791.311509834159</v>
      </c>
      <c r="E15" s="472">
        <f t="shared" si="1"/>
        <v>3202.2509496776315</v>
      </c>
      <c r="F15" s="472">
        <f t="shared" ca="1" si="1"/>
        <v>23766.752075307064</v>
      </c>
      <c r="G15" s="472">
        <f t="shared" si="1"/>
        <v>82381.810078060764</v>
      </c>
      <c r="H15" s="472">
        <f t="shared" si="1"/>
        <v>13119.340754431325</v>
      </c>
      <c r="I15" s="472">
        <f t="shared" si="1"/>
        <v>0</v>
      </c>
      <c r="J15" s="472">
        <f t="shared" si="1"/>
        <v>1900.843061328552</v>
      </c>
      <c r="K15" s="472">
        <f t="shared" si="1"/>
        <v>0</v>
      </c>
      <c r="L15" s="472">
        <f t="shared" ca="1" si="1"/>
        <v>0</v>
      </c>
      <c r="M15" s="472">
        <f t="shared" si="1"/>
        <v>4315.9483271150784</v>
      </c>
      <c r="N15" s="472">
        <f t="shared" ca="1" si="1"/>
        <v>14325.042734930052</v>
      </c>
      <c r="O15" s="472">
        <f t="shared" si="1"/>
        <v>137.57333333333335</v>
      </c>
      <c r="P15" s="472">
        <f t="shared" si="1"/>
        <v>209.73333333333335</v>
      </c>
      <c r="Q15" s="472">
        <f t="shared" ca="1" si="1"/>
        <v>231818.43716562528</v>
      </c>
    </row>
    <row r="17" spans="1:17">
      <c r="A17" s="475" t="s">
        <v>569</v>
      </c>
      <c r="B17" s="781">
        <f ca="1">huishoudens!B10</f>
        <v>0.20409377138823256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3421.0808200471993</v>
      </c>
      <c r="C22" s="462">
        <f t="shared" ref="C22:C32" ca="1" si="3">C4*$C$17</f>
        <v>0</v>
      </c>
      <c r="D22" s="462">
        <f t="shared" ref="D22:D32" si="4">D4*$D$17</f>
        <v>8312.7957100729327</v>
      </c>
      <c r="E22" s="462">
        <f t="shared" ref="E22:E32" si="5">E4*$E$17</f>
        <v>469.05950280228319</v>
      </c>
      <c r="F22" s="462">
        <f t="shared" ref="F22:F32" si="6">F4*$F$17</f>
        <v>2579.7851282500833</v>
      </c>
      <c r="G22" s="462">
        <f t="shared" ref="G22:G32" si="7">G4*$G$17</f>
        <v>0</v>
      </c>
      <c r="H22" s="462">
        <f t="shared" ref="H22:H32" si="8">H4*$H$17</f>
        <v>0</v>
      </c>
      <c r="I22" s="462">
        <f t="shared" ref="I22:I32" si="9">I4*$I$17</f>
        <v>0</v>
      </c>
      <c r="J22" s="462">
        <f t="shared" ref="J22:J32" si="10">J4*$J$17</f>
        <v>560.23034638428487</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15342.951507556783</v>
      </c>
    </row>
    <row r="23" spans="1:17">
      <c r="A23" s="461" t="s">
        <v>156</v>
      </c>
      <c r="B23" s="462">
        <f t="shared" ca="1" si="2"/>
        <v>1716.5092256972068</v>
      </c>
      <c r="C23" s="462">
        <f t="shared" ca="1" si="3"/>
        <v>0</v>
      </c>
      <c r="D23" s="462">
        <f t="shared" ca="1" si="4"/>
        <v>1647.7986792080001</v>
      </c>
      <c r="E23" s="462">
        <f t="shared" si="5"/>
        <v>26.498012139373429</v>
      </c>
      <c r="F23" s="462">
        <f t="shared" ca="1" si="6"/>
        <v>426.53170071178016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3817.33761775636</v>
      </c>
    </row>
    <row r="24" spans="1:17">
      <c r="A24" s="461" t="s">
        <v>194</v>
      </c>
      <c r="B24" s="462">
        <f t="shared" ca="1" si="2"/>
        <v>134.06940251870134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134.06940251870134</v>
      </c>
    </row>
    <row r="25" spans="1:17">
      <c r="A25" s="461" t="s">
        <v>112</v>
      </c>
      <c r="B25" s="462">
        <f t="shared" ca="1" si="2"/>
        <v>431.64097851554385</v>
      </c>
      <c r="C25" s="462">
        <f t="shared" ca="1" si="3"/>
        <v>0</v>
      </c>
      <c r="D25" s="462">
        <f t="shared" si="4"/>
        <v>131.16574433600002</v>
      </c>
      <c r="E25" s="462">
        <f t="shared" si="5"/>
        <v>6.0496983591369631</v>
      </c>
      <c r="F25" s="462">
        <f t="shared" si="6"/>
        <v>1948.2954136200656</v>
      </c>
      <c r="G25" s="462">
        <f t="shared" si="7"/>
        <v>0</v>
      </c>
      <c r="H25" s="462">
        <f t="shared" si="8"/>
        <v>0</v>
      </c>
      <c r="I25" s="462">
        <f t="shared" si="9"/>
        <v>0</v>
      </c>
      <c r="J25" s="462">
        <f t="shared" si="10"/>
        <v>112.5929477711534</v>
      </c>
      <c r="K25" s="462">
        <f t="shared" si="11"/>
        <v>0</v>
      </c>
      <c r="L25" s="462">
        <f t="shared" si="12"/>
        <v>0</v>
      </c>
      <c r="M25" s="462">
        <f t="shared" si="13"/>
        <v>0</v>
      </c>
      <c r="N25" s="462">
        <f t="shared" si="14"/>
        <v>0</v>
      </c>
      <c r="O25" s="462">
        <f t="shared" si="15"/>
        <v>0</v>
      </c>
      <c r="P25" s="463">
        <f t="shared" si="16"/>
        <v>0</v>
      </c>
      <c r="Q25" s="461">
        <f t="shared" ca="1" si="17"/>
        <v>2629.7447826018997</v>
      </c>
    </row>
    <row r="26" spans="1:17">
      <c r="A26" s="461" t="s">
        <v>657</v>
      </c>
      <c r="B26" s="462">
        <f t="shared" ca="1" si="2"/>
        <v>1175.5682857574793</v>
      </c>
      <c r="C26" s="462">
        <f t="shared" ca="1" si="3"/>
        <v>0</v>
      </c>
      <c r="D26" s="462">
        <f t="shared" si="4"/>
        <v>401.09696184800009</v>
      </c>
      <c r="E26" s="462">
        <f t="shared" si="5"/>
        <v>157.68921897023722</v>
      </c>
      <c r="F26" s="462">
        <f t="shared" si="6"/>
        <v>1391.1105615250574</v>
      </c>
      <c r="G26" s="462">
        <f t="shared" si="7"/>
        <v>0</v>
      </c>
      <c r="H26" s="462">
        <f t="shared" si="8"/>
        <v>0</v>
      </c>
      <c r="I26" s="462">
        <f t="shared" si="9"/>
        <v>0</v>
      </c>
      <c r="J26" s="462">
        <f t="shared" si="10"/>
        <v>7.5149554869153021E-2</v>
      </c>
      <c r="K26" s="462">
        <f t="shared" si="11"/>
        <v>0</v>
      </c>
      <c r="L26" s="462">
        <f t="shared" si="12"/>
        <v>0</v>
      </c>
      <c r="M26" s="462">
        <f t="shared" si="13"/>
        <v>0</v>
      </c>
      <c r="N26" s="462">
        <f t="shared" si="14"/>
        <v>0</v>
      </c>
      <c r="O26" s="462">
        <f t="shared" si="15"/>
        <v>0</v>
      </c>
      <c r="P26" s="463">
        <f t="shared" si="16"/>
        <v>0</v>
      </c>
      <c r="Q26" s="461">
        <f t="shared" ca="1" si="17"/>
        <v>3125.5401776556437</v>
      </c>
    </row>
    <row r="27" spans="1:17" s="467" customFormat="1">
      <c r="A27" s="465" t="s">
        <v>574</v>
      </c>
      <c r="B27" s="775">
        <f t="shared" ca="1" si="2"/>
        <v>1.0088459181720624</v>
      </c>
      <c r="C27" s="466">
        <f t="shared" ca="1" si="3"/>
        <v>0</v>
      </c>
      <c r="D27" s="466">
        <f t="shared" si="4"/>
        <v>1.7332588012472017</v>
      </c>
      <c r="E27" s="466">
        <f t="shared" si="5"/>
        <v>67.61453330579161</v>
      </c>
      <c r="F27" s="466">
        <f t="shared" si="6"/>
        <v>0</v>
      </c>
      <c r="G27" s="466">
        <f t="shared" si="7"/>
        <v>21829.891801396239</v>
      </c>
      <c r="H27" s="466">
        <f t="shared" si="8"/>
        <v>3266.7158478533997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25166.964287274852</v>
      </c>
    </row>
    <row r="28" spans="1:17">
      <c r="A28" s="461" t="s">
        <v>564</v>
      </c>
      <c r="B28" s="462">
        <f t="shared" ca="1" si="2"/>
        <v>0</v>
      </c>
      <c r="C28" s="462">
        <f t="shared" ca="1" si="3"/>
        <v>0</v>
      </c>
      <c r="D28" s="462">
        <f t="shared" si="4"/>
        <v>0</v>
      </c>
      <c r="E28" s="462">
        <f t="shared" si="5"/>
        <v>0</v>
      </c>
      <c r="F28" s="462">
        <f t="shared" si="6"/>
        <v>0</v>
      </c>
      <c r="G28" s="462">
        <f t="shared" si="7"/>
        <v>166.05148944598602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166.05148944598602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195.61081787425206</v>
      </c>
      <c r="C32" s="462">
        <f t="shared" ca="1" si="3"/>
        <v>0</v>
      </c>
      <c r="D32" s="462">
        <f t="shared" si="4"/>
        <v>371.25457072032009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566.8653885945721</v>
      </c>
    </row>
    <row r="33" spans="1:17" s="474" customFormat="1">
      <c r="A33" s="471" t="s">
        <v>568</v>
      </c>
      <c r="B33" s="472">
        <f ca="1">SUM(B22:B32)</f>
        <v>7075.4883763285552</v>
      </c>
      <c r="C33" s="472">
        <f t="shared" ref="C33:Q33" ca="1" si="18">SUM(C22:C32)</f>
        <v>0</v>
      </c>
      <c r="D33" s="472">
        <f t="shared" ca="1" si="18"/>
        <v>10865.844924986501</v>
      </c>
      <c r="E33" s="472">
        <f t="shared" si="18"/>
        <v>726.91096557682249</v>
      </c>
      <c r="F33" s="472">
        <f t="shared" ca="1" si="18"/>
        <v>6345.7228041069857</v>
      </c>
      <c r="G33" s="472">
        <f t="shared" si="18"/>
        <v>21995.943290842224</v>
      </c>
      <c r="H33" s="472">
        <f t="shared" si="18"/>
        <v>3266.7158478533997</v>
      </c>
      <c r="I33" s="472">
        <f t="shared" si="18"/>
        <v>0</v>
      </c>
      <c r="J33" s="472">
        <f t="shared" si="18"/>
        <v>672.89844371030745</v>
      </c>
      <c r="K33" s="472">
        <f t="shared" si="18"/>
        <v>0</v>
      </c>
      <c r="L33" s="472">
        <f t="shared" ca="1" si="18"/>
        <v>0</v>
      </c>
      <c r="M33" s="472">
        <f t="shared" si="18"/>
        <v>0</v>
      </c>
      <c r="N33" s="472">
        <f t="shared" ca="1" si="18"/>
        <v>0</v>
      </c>
      <c r="O33" s="472">
        <f t="shared" si="18"/>
        <v>0</v>
      </c>
      <c r="P33" s="472">
        <f t="shared" si="18"/>
        <v>0</v>
      </c>
      <c r="Q33" s="472">
        <f t="shared" ca="1" si="18"/>
        <v>50949.524653404791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2652.0464999999999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2652.0464999999999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0.20409377138823256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0.20409377138823256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0.20409377138823256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0.20409377138823256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36010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3830</v>
      </c>
      <c r="C9" s="338">
        <v>3887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1668</v>
      </c>
    </row>
    <row r="15" spans="1:6">
      <c r="A15" s="1295" t="s">
        <v>184</v>
      </c>
      <c r="B15" s="335">
        <v>16</v>
      </c>
    </row>
    <row r="16" spans="1:6">
      <c r="A16" s="1295" t="s">
        <v>6</v>
      </c>
      <c r="B16" s="335">
        <v>398</v>
      </c>
    </row>
    <row r="17" spans="1:6">
      <c r="A17" s="1295" t="s">
        <v>7</v>
      </c>
      <c r="B17" s="335">
        <v>649</v>
      </c>
    </row>
    <row r="18" spans="1:6">
      <c r="A18" s="1295" t="s">
        <v>8</v>
      </c>
      <c r="B18" s="335">
        <v>828</v>
      </c>
    </row>
    <row r="19" spans="1:6">
      <c r="A19" s="1295" t="s">
        <v>9</v>
      </c>
      <c r="B19" s="335">
        <v>843</v>
      </c>
    </row>
    <row r="20" spans="1:6">
      <c r="A20" s="1295" t="s">
        <v>10</v>
      </c>
      <c r="B20" s="335">
        <v>839</v>
      </c>
    </row>
    <row r="21" spans="1:6">
      <c r="A21" s="1295" t="s">
        <v>11</v>
      </c>
      <c r="B21" s="335">
        <v>6927</v>
      </c>
    </row>
    <row r="22" spans="1:6">
      <c r="A22" s="1295" t="s">
        <v>12</v>
      </c>
      <c r="B22" s="335">
        <v>23831</v>
      </c>
    </row>
    <row r="23" spans="1:6">
      <c r="A23" s="1295" t="s">
        <v>13</v>
      </c>
      <c r="B23" s="335">
        <v>252</v>
      </c>
    </row>
    <row r="24" spans="1:6">
      <c r="A24" s="1295" t="s">
        <v>14</v>
      </c>
      <c r="B24" s="335">
        <v>11</v>
      </c>
    </row>
    <row r="25" spans="1:6">
      <c r="A25" s="1295" t="s">
        <v>15</v>
      </c>
      <c r="B25" s="335">
        <v>1619</v>
      </c>
    </row>
    <row r="26" spans="1:6">
      <c r="A26" s="1295" t="s">
        <v>16</v>
      </c>
      <c r="B26" s="335">
        <v>196</v>
      </c>
    </row>
    <row r="27" spans="1:6">
      <c r="A27" s="1295" t="s">
        <v>17</v>
      </c>
      <c r="B27" s="335">
        <v>7</v>
      </c>
    </row>
    <row r="28" spans="1:6" s="341" customFormat="1">
      <c r="A28" s="1296" t="s">
        <v>18</v>
      </c>
      <c r="B28" s="1296">
        <v>57244</v>
      </c>
    </row>
    <row r="29" spans="1:6">
      <c r="A29" s="1296" t="s">
        <v>909</v>
      </c>
      <c r="B29" s="1296">
        <v>105</v>
      </c>
      <c r="C29" s="341"/>
      <c r="D29" s="341"/>
      <c r="E29" s="341"/>
      <c r="F29" s="341"/>
    </row>
    <row r="30" spans="1:6">
      <c r="A30" s="1291" t="s">
        <v>910</v>
      </c>
      <c r="B30" s="1291">
        <v>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12017</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2631</v>
      </c>
      <c r="D39" s="335">
        <v>45623563.204281643</v>
      </c>
      <c r="E39" s="335">
        <v>3594</v>
      </c>
      <c r="F39" s="335">
        <v>14694056</v>
      </c>
    </row>
    <row r="40" spans="1:6">
      <c r="A40" s="1295" t="s">
        <v>30</v>
      </c>
      <c r="B40" s="1295" t="s">
        <v>29</v>
      </c>
      <c r="C40" s="335">
        <v>0</v>
      </c>
      <c r="D40" s="335">
        <v>0</v>
      </c>
      <c r="E40" s="335">
        <v>0</v>
      </c>
      <c r="F40" s="335">
        <v>0</v>
      </c>
    </row>
    <row r="41" spans="1:6">
      <c r="A41" s="1295" t="s">
        <v>32</v>
      </c>
      <c r="B41" s="1295" t="s">
        <v>33</v>
      </c>
      <c r="C41" s="335">
        <v>48</v>
      </c>
      <c r="D41" s="335">
        <v>1303965</v>
      </c>
      <c r="E41" s="335">
        <v>128</v>
      </c>
      <c r="F41" s="335">
        <v>1695729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8</v>
      </c>
      <c r="D44" s="335">
        <v>215120</v>
      </c>
      <c r="E44" s="335">
        <v>25</v>
      </c>
      <c r="F44" s="335">
        <v>903232</v>
      </c>
    </row>
    <row r="45" spans="1:6">
      <c r="A45" s="1295" t="s">
        <v>32</v>
      </c>
      <c r="B45" s="1295" t="s">
        <v>37</v>
      </c>
      <c r="C45" s="335">
        <v>0</v>
      </c>
      <c r="D45" s="335">
        <v>0</v>
      </c>
      <c r="E45" s="335">
        <v>3</v>
      </c>
      <c r="F45" s="335">
        <v>32448</v>
      </c>
    </row>
    <row r="46" spans="1:6">
      <c r="A46" s="1295" t="s">
        <v>32</v>
      </c>
      <c r="B46" s="1295" t="s">
        <v>38</v>
      </c>
      <c r="C46" s="335">
        <v>0</v>
      </c>
      <c r="D46" s="335">
        <v>0</v>
      </c>
      <c r="E46" s="335">
        <v>0</v>
      </c>
      <c r="F46" s="335">
        <v>0</v>
      </c>
    </row>
    <row r="47" spans="1:6">
      <c r="A47" s="1295" t="s">
        <v>32</v>
      </c>
      <c r="B47" s="1295" t="s">
        <v>39</v>
      </c>
      <c r="C47" s="335">
        <v>3</v>
      </c>
      <c r="D47" s="335">
        <v>165245</v>
      </c>
      <c r="E47" s="335">
        <v>4</v>
      </c>
      <c r="F47" s="335">
        <v>78877</v>
      </c>
    </row>
    <row r="48" spans="1:6">
      <c r="A48" s="1295" t="s">
        <v>32</v>
      </c>
      <c r="B48" s="1295" t="s">
        <v>29</v>
      </c>
      <c r="C48" s="335">
        <v>2</v>
      </c>
      <c r="D48" s="335">
        <v>6819</v>
      </c>
      <c r="E48" s="335">
        <v>0</v>
      </c>
      <c r="F48" s="335">
        <v>0</v>
      </c>
    </row>
    <row r="49" spans="1:6">
      <c r="A49" s="1295" t="s">
        <v>32</v>
      </c>
      <c r="B49" s="1295" t="s">
        <v>40</v>
      </c>
      <c r="C49" s="335">
        <v>0</v>
      </c>
      <c r="D49" s="335">
        <v>0</v>
      </c>
      <c r="E49" s="335">
        <v>7</v>
      </c>
      <c r="F49" s="335">
        <v>492678</v>
      </c>
    </row>
    <row r="50" spans="1:6">
      <c r="A50" s="1295" t="s">
        <v>32</v>
      </c>
      <c r="B50" s="1295" t="s">
        <v>41</v>
      </c>
      <c r="C50" s="335">
        <v>9</v>
      </c>
      <c r="D50" s="335">
        <v>510213</v>
      </c>
      <c r="E50" s="335">
        <v>20</v>
      </c>
      <c r="F50" s="335">
        <v>2556978</v>
      </c>
    </row>
    <row r="51" spans="1:6">
      <c r="A51" s="1295" t="s">
        <v>42</v>
      </c>
      <c r="B51" s="1295" t="s">
        <v>43</v>
      </c>
      <c r="C51" s="335">
        <v>10</v>
      </c>
      <c r="D51" s="335">
        <v>719884</v>
      </c>
      <c r="E51" s="335">
        <v>113</v>
      </c>
      <c r="F51" s="335">
        <v>2114915</v>
      </c>
    </row>
    <row r="52" spans="1:6">
      <c r="A52" s="1295" t="s">
        <v>42</v>
      </c>
      <c r="B52" s="1295" t="s">
        <v>29</v>
      </c>
      <c r="C52" s="335">
        <v>0</v>
      </c>
      <c r="D52" s="335">
        <v>0</v>
      </c>
      <c r="E52" s="335">
        <v>0</v>
      </c>
      <c r="F52" s="335">
        <v>0</v>
      </c>
    </row>
    <row r="53" spans="1:6">
      <c r="A53" s="1295" t="s">
        <v>44</v>
      </c>
      <c r="B53" s="1295" t="s">
        <v>45</v>
      </c>
      <c r="C53" s="335">
        <v>1</v>
      </c>
      <c r="D53" s="335">
        <v>16958.9144570301</v>
      </c>
      <c r="E53" s="335">
        <v>0</v>
      </c>
      <c r="F53" s="335">
        <v>0</v>
      </c>
    </row>
    <row r="54" spans="1:6">
      <c r="A54" s="1295" t="s">
        <v>46</v>
      </c>
      <c r="B54" s="1295" t="s">
        <v>47</v>
      </c>
      <c r="C54" s="335">
        <v>0</v>
      </c>
      <c r="D54" s="335">
        <v>0</v>
      </c>
      <c r="E54" s="335">
        <v>57</v>
      </c>
      <c r="F54" s="335">
        <v>656901</v>
      </c>
    </row>
    <row r="55" spans="1:6">
      <c r="A55" s="1295" t="s">
        <v>46</v>
      </c>
      <c r="B55" s="1295" t="s">
        <v>29</v>
      </c>
      <c r="C55" s="335">
        <v>0</v>
      </c>
      <c r="D55" s="335">
        <v>0</v>
      </c>
      <c r="E55" s="335">
        <v>0</v>
      </c>
      <c r="F55" s="335">
        <v>0</v>
      </c>
    </row>
    <row r="56" spans="1:6">
      <c r="A56" s="1295" t="s">
        <v>48</v>
      </c>
      <c r="B56" s="1295" t="s">
        <v>29</v>
      </c>
      <c r="C56" s="335">
        <v>65</v>
      </c>
      <c r="D56" s="335">
        <v>1820935</v>
      </c>
      <c r="E56" s="335">
        <v>55</v>
      </c>
      <c r="F56" s="335">
        <v>958436</v>
      </c>
    </row>
    <row r="57" spans="1:6">
      <c r="A57" s="1295" t="s">
        <v>49</v>
      </c>
      <c r="B57" s="1295" t="s">
        <v>50</v>
      </c>
      <c r="C57" s="335">
        <v>26</v>
      </c>
      <c r="D57" s="335">
        <v>1310216</v>
      </c>
      <c r="E57" s="335">
        <v>54</v>
      </c>
      <c r="F57" s="335">
        <v>687526</v>
      </c>
    </row>
    <row r="58" spans="1:6">
      <c r="A58" s="1295" t="s">
        <v>49</v>
      </c>
      <c r="B58" s="1295" t="s">
        <v>51</v>
      </c>
      <c r="C58" s="335">
        <v>16</v>
      </c>
      <c r="D58" s="335">
        <v>1992389</v>
      </c>
      <c r="E58" s="335">
        <v>15</v>
      </c>
      <c r="F58" s="335">
        <v>131459</v>
      </c>
    </row>
    <row r="59" spans="1:6">
      <c r="A59" s="1295" t="s">
        <v>49</v>
      </c>
      <c r="B59" s="1295" t="s">
        <v>52</v>
      </c>
      <c r="C59" s="335">
        <v>54</v>
      </c>
      <c r="D59" s="335">
        <v>1991640</v>
      </c>
      <c r="E59" s="335">
        <v>164</v>
      </c>
      <c r="F59" s="335">
        <v>3843431</v>
      </c>
    </row>
    <row r="60" spans="1:6">
      <c r="A60" s="1295" t="s">
        <v>49</v>
      </c>
      <c r="B60" s="1295" t="s">
        <v>53</v>
      </c>
      <c r="C60" s="335">
        <v>32</v>
      </c>
      <c r="D60" s="335">
        <v>2178131</v>
      </c>
      <c r="E60" s="335">
        <v>35</v>
      </c>
      <c r="F60" s="335">
        <v>833361</v>
      </c>
    </row>
    <row r="61" spans="1:6">
      <c r="A61" s="1295" t="s">
        <v>49</v>
      </c>
      <c r="B61" s="1295" t="s">
        <v>54</v>
      </c>
      <c r="C61" s="335">
        <v>39</v>
      </c>
      <c r="D61" s="335">
        <v>1266427</v>
      </c>
      <c r="E61" s="335">
        <v>169</v>
      </c>
      <c r="F61" s="335">
        <v>2817024</v>
      </c>
    </row>
    <row r="62" spans="1:6">
      <c r="A62" s="1295" t="s">
        <v>49</v>
      </c>
      <c r="B62" s="1295" t="s">
        <v>55</v>
      </c>
      <c r="C62" s="335">
        <v>4</v>
      </c>
      <c r="D62" s="335">
        <v>304899</v>
      </c>
      <c r="E62" s="335">
        <v>6</v>
      </c>
      <c r="F62" s="335">
        <v>92820</v>
      </c>
    </row>
    <row r="63" spans="1:6">
      <c r="A63" s="1295" t="s">
        <v>49</v>
      </c>
      <c r="B63" s="1295" t="s">
        <v>29</v>
      </c>
      <c r="C63" s="335">
        <v>0</v>
      </c>
      <c r="D63" s="335">
        <v>0</v>
      </c>
      <c r="E63" s="335">
        <v>1</v>
      </c>
      <c r="F63" s="335">
        <v>4773.9572866576</v>
      </c>
    </row>
    <row r="64" spans="1:6">
      <c r="A64" s="1295" t="s">
        <v>56</v>
      </c>
      <c r="B64" s="1295" t="s">
        <v>57</v>
      </c>
      <c r="C64" s="335">
        <v>0</v>
      </c>
      <c r="D64" s="335">
        <v>0</v>
      </c>
      <c r="E64" s="335">
        <v>0</v>
      </c>
      <c r="F64" s="335">
        <v>0</v>
      </c>
    </row>
    <row r="65" spans="1:6">
      <c r="A65" s="1295" t="s">
        <v>56</v>
      </c>
      <c r="B65" s="1295" t="s">
        <v>29</v>
      </c>
      <c r="C65" s="335">
        <v>1</v>
      </c>
      <c r="D65" s="335">
        <v>32523</v>
      </c>
      <c r="E65" s="335">
        <v>1</v>
      </c>
      <c r="F65" s="335">
        <v>5278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107602</v>
      </c>
      <c r="E68" s="335">
        <v>14</v>
      </c>
      <c r="F68" s="335">
        <v>114460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10278328</v>
      </c>
      <c r="E73" s="335">
        <v>9733389.6465927605</v>
      </c>
    </row>
    <row r="74" spans="1:6">
      <c r="A74" s="1295" t="s">
        <v>64</v>
      </c>
      <c r="B74" s="1295" t="s">
        <v>727</v>
      </c>
      <c r="C74" s="1295" t="s">
        <v>728</v>
      </c>
      <c r="D74" s="335">
        <v>1078609.1737040554</v>
      </c>
      <c r="E74" s="335">
        <v>1068689.5313280781</v>
      </c>
    </row>
    <row r="75" spans="1:6">
      <c r="A75" s="1295" t="s">
        <v>65</v>
      </c>
      <c r="B75" s="1295" t="s">
        <v>725</v>
      </c>
      <c r="C75" s="1295" t="s">
        <v>729</v>
      </c>
      <c r="D75" s="335">
        <v>22908122</v>
      </c>
      <c r="E75" s="335">
        <v>21265862.240651395</v>
      </c>
    </row>
    <row r="76" spans="1:6">
      <c r="A76" s="1295" t="s">
        <v>65</v>
      </c>
      <c r="B76" s="1295" t="s">
        <v>727</v>
      </c>
      <c r="C76" s="1295" t="s">
        <v>730</v>
      </c>
      <c r="D76" s="335">
        <v>590139.17370405537</v>
      </c>
      <c r="E76" s="335">
        <v>558626.86929644749</v>
      </c>
    </row>
    <row r="77" spans="1:6">
      <c r="A77" s="1295" t="s">
        <v>66</v>
      </c>
      <c r="B77" s="1295" t="s">
        <v>725</v>
      </c>
      <c r="C77" s="1295" t="s">
        <v>731</v>
      </c>
      <c r="D77" s="335">
        <v>57339077</v>
      </c>
      <c r="E77" s="335">
        <v>65916339.228809789</v>
      </c>
    </row>
    <row r="78" spans="1:6">
      <c r="A78" s="1291" t="s">
        <v>66</v>
      </c>
      <c r="B78" s="1291" t="s">
        <v>727</v>
      </c>
      <c r="C78" s="1291" t="s">
        <v>732</v>
      </c>
      <c r="D78" s="1291">
        <v>10963547</v>
      </c>
      <c r="E78" s="1291">
        <v>11574773.277848568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171609.65259188917</v>
      </c>
      <c r="C83" s="335">
        <v>172633.47811966389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2068.2429999999999</v>
      </c>
    </row>
    <row r="92" spans="1:6">
      <c r="A92" s="1291" t="s">
        <v>69</v>
      </c>
      <c r="B92" s="338">
        <v>583.80349999999999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1850</v>
      </c>
    </row>
    <row r="98" spans="1:6">
      <c r="A98" s="1295" t="s">
        <v>72</v>
      </c>
      <c r="B98" s="335">
        <v>0</v>
      </c>
    </row>
    <row r="99" spans="1:6">
      <c r="A99" s="1295" t="s">
        <v>73</v>
      </c>
      <c r="B99" s="335">
        <v>49</v>
      </c>
    </row>
    <row r="100" spans="1:6">
      <c r="A100" s="1295" t="s">
        <v>74</v>
      </c>
      <c r="B100" s="335">
        <v>252</v>
      </c>
    </row>
    <row r="101" spans="1:6">
      <c r="A101" s="1295" t="s">
        <v>75</v>
      </c>
      <c r="B101" s="335">
        <v>78</v>
      </c>
    </row>
    <row r="102" spans="1:6">
      <c r="A102" s="1295" t="s">
        <v>76</v>
      </c>
      <c r="B102" s="335">
        <v>61</v>
      </c>
    </row>
    <row r="103" spans="1:6">
      <c r="A103" s="1295" t="s">
        <v>77</v>
      </c>
      <c r="B103" s="335">
        <v>117</v>
      </c>
    </row>
    <row r="104" spans="1:6">
      <c r="A104" s="1295" t="s">
        <v>78</v>
      </c>
      <c r="B104" s="335">
        <v>1085</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6</v>
      </c>
      <c r="C123" s="335">
        <v>19</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69</v>
      </c>
    </row>
    <row r="130" spans="1:6">
      <c r="A130" s="1295" t="s">
        <v>295</v>
      </c>
      <c r="B130" s="335">
        <v>0</v>
      </c>
    </row>
    <row r="131" spans="1:6">
      <c r="A131" s="1295" t="s">
        <v>296</v>
      </c>
      <c r="B131" s="335">
        <v>0</v>
      </c>
    </row>
    <row r="132" spans="1:6">
      <c r="A132" s="1291" t="s">
        <v>297</v>
      </c>
      <c r="B132" s="338">
        <v>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34667.831008274006</v>
      </c>
      <c r="C3" s="43" t="s">
        <v>170</v>
      </c>
      <c r="D3" s="43"/>
      <c r="E3" s="156"/>
      <c r="F3" s="43"/>
      <c r="G3" s="43"/>
      <c r="H3" s="43"/>
      <c r="I3" s="43"/>
      <c r="J3" s="43"/>
      <c r="K3" s="96"/>
    </row>
    <row r="4" spans="1:11">
      <c r="A4" s="366" t="s">
        <v>171</v>
      </c>
      <c r="B4" s="49">
        <f>IF(ISERROR('SEAP template'!B78+'SEAP template'!C78),0,'SEAP template'!B78+'SEAP template'!C78)</f>
        <v>2652.0464999999999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0.20409377138823256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656.90099999999995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656.90099999999995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0.20409377138823256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134.06940251870134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14694.056</v>
      </c>
      <c r="C5" s="17">
        <f>IF(ISERROR('Eigen informatie GS &amp; warmtenet'!B57),0,'Eigen informatie GS &amp; warmtenet'!B57)</f>
        <v>0</v>
      </c>
      <c r="D5" s="30">
        <f>(SUM(HH_hh_gas_kWh,HH_rest_gas_kWh)/1000)*0.902</f>
        <v>41152.454010262045</v>
      </c>
      <c r="E5" s="17">
        <f>B46*B57</f>
        <v>2066.3414220364898</v>
      </c>
      <c r="F5" s="17">
        <f>B51*B62</f>
        <v>9662.1165852063041</v>
      </c>
      <c r="G5" s="18"/>
      <c r="H5" s="17"/>
      <c r="I5" s="17"/>
      <c r="J5" s="17">
        <f>B50*B61+C50*C61</f>
        <v>1582.5715999556071</v>
      </c>
      <c r="K5" s="17"/>
      <c r="L5" s="17"/>
      <c r="M5" s="17"/>
      <c r="N5" s="17">
        <f>B48*B59+C48*C59</f>
        <v>12331.26501420965</v>
      </c>
      <c r="O5" s="17">
        <f>B69*B70*B71</f>
        <v>137.57333333333335</v>
      </c>
      <c r="P5" s="17">
        <f>B77*B78*B79/1000-B77*B78*B79/1000/B80</f>
        <v>209.73333333333335</v>
      </c>
    </row>
    <row r="6" spans="1:16">
      <c r="A6" s="16" t="s">
        <v>634</v>
      </c>
      <c r="B6" s="783">
        <f>kWh_PV_kleiner_dan_10kW</f>
        <v>2068.2429999999999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16762.298999999999</v>
      </c>
      <c r="C8" s="21">
        <f>C5</f>
        <v>0</v>
      </c>
      <c r="D8" s="21">
        <f>D5</f>
        <v>41152.454010262045</v>
      </c>
      <c r="E8" s="21">
        <f>E5</f>
        <v>2066.3414220364898</v>
      </c>
      <c r="F8" s="21">
        <f>F5</f>
        <v>9662.1165852063041</v>
      </c>
      <c r="G8" s="21"/>
      <c r="H8" s="21"/>
      <c r="I8" s="21"/>
      <c r="J8" s="21">
        <f>J5</f>
        <v>1582.5715999556071</v>
      </c>
      <c r="K8" s="21"/>
      <c r="L8" s="21">
        <f>L5</f>
        <v>0</v>
      </c>
      <c r="M8" s="21">
        <f>M5</f>
        <v>0</v>
      </c>
      <c r="N8" s="21">
        <f>N5</f>
        <v>12331.26501420965</v>
      </c>
      <c r="O8" s="21">
        <f>O5</f>
        <v>137.57333333333335</v>
      </c>
      <c r="P8" s="21">
        <f>P5</f>
        <v>209.73333333333335</v>
      </c>
    </row>
    <row r="9" spans="1:16">
      <c r="B9" s="19"/>
      <c r="C9" s="19"/>
      <c r="D9" s="261"/>
      <c r="E9" s="19"/>
      <c r="F9" s="19"/>
      <c r="G9" s="19"/>
      <c r="H9" s="19"/>
      <c r="I9" s="19"/>
      <c r="J9" s="19"/>
      <c r="K9" s="19"/>
      <c r="L9" s="19"/>
      <c r="M9" s="19"/>
      <c r="N9" s="19"/>
      <c r="O9" s="19"/>
      <c r="P9" s="19"/>
    </row>
    <row r="10" spans="1:16">
      <c r="A10" s="24" t="s">
        <v>214</v>
      </c>
      <c r="B10" s="25">
        <f ca="1">'EF ele_warmte'!B12</f>
        <v>0.20409377138823256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3421.0808200471993</v>
      </c>
      <c r="C12" s="23">
        <f ca="1">C10*C8</f>
        <v>0</v>
      </c>
      <c r="D12" s="23">
        <f>D8*D10</f>
        <v>8312.7957100729327</v>
      </c>
      <c r="E12" s="23">
        <f>E10*E8</f>
        <v>469.05950280228319</v>
      </c>
      <c r="F12" s="23">
        <f>F10*F8</f>
        <v>2579.7851282500833</v>
      </c>
      <c r="G12" s="23"/>
      <c r="H12" s="23"/>
      <c r="I12" s="23"/>
      <c r="J12" s="23">
        <f>J10*J8</f>
        <v>560.23034638428487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1850</v>
      </c>
      <c r="C18" s="168" t="s">
        <v>111</v>
      </c>
      <c r="D18" s="230"/>
      <c r="E18" s="15"/>
    </row>
    <row r="19" spans="1:7">
      <c r="A19" s="173" t="s">
        <v>72</v>
      </c>
      <c r="B19" s="37">
        <f>aantalw2001_ander</f>
        <v>0</v>
      </c>
      <c r="C19" s="168" t="s">
        <v>111</v>
      </c>
      <c r="D19" s="231"/>
      <c r="E19" s="15"/>
    </row>
    <row r="20" spans="1:7">
      <c r="A20" s="173" t="s">
        <v>73</v>
      </c>
      <c r="B20" s="37">
        <f>aantalw2001_propaan</f>
        <v>49</v>
      </c>
      <c r="C20" s="169">
        <f>IF(ISERROR(B20/SUM($B$20,$B$21,$B$22)*100),0,B20/SUM($B$20,$B$21,$B$22)*100)</f>
        <v>12.928759894459102</v>
      </c>
      <c r="D20" s="231"/>
      <c r="E20" s="15"/>
    </row>
    <row r="21" spans="1:7">
      <c r="A21" s="173" t="s">
        <v>74</v>
      </c>
      <c r="B21" s="37">
        <f>aantalw2001_elektriciteit</f>
        <v>252</v>
      </c>
      <c r="C21" s="169">
        <f>IF(ISERROR(B21/SUM($B$20,$B$21,$B$22)*100),0,B21/SUM($B$20,$B$21,$B$22)*100)</f>
        <v>66.490765171503966</v>
      </c>
      <c r="D21" s="231"/>
      <c r="E21" s="15"/>
    </row>
    <row r="22" spans="1:7">
      <c r="A22" s="173" t="s">
        <v>75</v>
      </c>
      <c r="B22" s="37">
        <f>aantalw2001_hout</f>
        <v>78</v>
      </c>
      <c r="C22" s="169">
        <f>IF(ISERROR(B22/SUM($B$20,$B$21,$B$22)*100),0,B22/SUM($B$20,$B$21,$B$22)*100)</f>
        <v>20.580474934036939</v>
      </c>
      <c r="D22" s="231"/>
      <c r="E22" s="15"/>
    </row>
    <row r="23" spans="1:7">
      <c r="A23" s="173" t="s">
        <v>76</v>
      </c>
      <c r="B23" s="37">
        <f>aantalw2001_niet_gespec</f>
        <v>61</v>
      </c>
      <c r="C23" s="168" t="s">
        <v>111</v>
      </c>
      <c r="D23" s="230"/>
      <c r="E23" s="15"/>
    </row>
    <row r="24" spans="1:7">
      <c r="A24" s="173" t="s">
        <v>77</v>
      </c>
      <c r="B24" s="37">
        <f>aantalw2001_steenkool</f>
        <v>117</v>
      </c>
      <c r="C24" s="168" t="s">
        <v>111</v>
      </c>
      <c r="D24" s="231"/>
      <c r="E24" s="15"/>
    </row>
    <row r="25" spans="1:7">
      <c r="A25" s="173" t="s">
        <v>78</v>
      </c>
      <c r="B25" s="37">
        <f>aantalw2001_stookolie</f>
        <v>1085</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3830</v>
      </c>
      <c r="C28" s="36"/>
      <c r="D28" s="230"/>
    </row>
    <row r="29" spans="1:7" s="15" customFormat="1">
      <c r="A29" s="232" t="s">
        <v>746</v>
      </c>
      <c r="B29" s="37">
        <f>SUM(HH_hh_gas_aantal,HH_rest_gas_aantal)</f>
        <v>2631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2631</v>
      </c>
      <c r="C32" s="169">
        <f>IF(ISERROR(B32/SUM($B$32,$B$34,$B$35,$B$36,$B$38,$B$39)*100),0,B32/SUM($B$32,$B$34,$B$35,$B$36,$B$38,$B$39)*100)</f>
        <v>68.892380204241945</v>
      </c>
      <c r="D32" s="235"/>
      <c r="G32" s="15"/>
    </row>
    <row r="33" spans="1:7">
      <c r="A33" s="173" t="s">
        <v>72</v>
      </c>
      <c r="B33" s="34" t="s">
        <v>111</v>
      </c>
      <c r="C33" s="169"/>
      <c r="D33" s="235"/>
      <c r="G33" s="15"/>
    </row>
    <row r="34" spans="1:7">
      <c r="A34" s="173" t="s">
        <v>73</v>
      </c>
      <c r="B34" s="33">
        <f>IF((($B$28-$B$32-$B$39-$B$77-$B$38)*C20/100)&lt;0,0,($B$28-$B$32-$B$39-$B$77-$B$38)*C20/100)</f>
        <v>99.163588390501317</v>
      </c>
      <c r="C34" s="169">
        <f>IF(ISERROR(B34/SUM($B$32,$B$34,$B$35,$B$36,$B$38,$B$39)*100),0,B34/SUM($B$32,$B$34,$B$35,$B$36,$B$38,$B$39)*100)</f>
        <v>2.5965851895915502</v>
      </c>
      <c r="D34" s="235"/>
      <c r="G34" s="15"/>
    </row>
    <row r="35" spans="1:7">
      <c r="A35" s="173" t="s">
        <v>74</v>
      </c>
      <c r="B35" s="33">
        <f>IF((($B$28-$B$32-$B$39-$B$77-$B$38)*C21/100)&lt;0,0,($B$28-$B$32-$B$39-$B$77-$B$38)*C21/100)</f>
        <v>509.98416886543544</v>
      </c>
      <c r="C35" s="169">
        <f>IF(ISERROR(B35/SUM($B$32,$B$34,$B$35,$B$36,$B$38,$B$39)*100),0,B35/SUM($B$32,$B$34,$B$35,$B$36,$B$38,$B$39)*100)</f>
        <v>13.353866689327976</v>
      </c>
      <c r="D35" s="235"/>
      <c r="G35" s="15"/>
    </row>
    <row r="36" spans="1:7">
      <c r="A36" s="173" t="s">
        <v>75</v>
      </c>
      <c r="B36" s="33">
        <f>IF((($B$28-$B$32-$B$39-$B$77-$B$38)*C22/100)&lt;0,0,($B$28-$B$32-$B$39-$B$77-$B$38)*C22/100)</f>
        <v>157.85224274406332</v>
      </c>
      <c r="C36" s="169">
        <f>IF(ISERROR(B36/SUM($B$32,$B$34,$B$35,$B$36,$B$38,$B$39)*100),0,B36/SUM($B$32,$B$34,$B$35,$B$36,$B$38,$B$39)*100)</f>
        <v>4.1333396895538961</v>
      </c>
      <c r="D36" s="235"/>
      <c r="G36" s="15"/>
    </row>
    <row r="37" spans="1:7">
      <c r="A37" s="173" t="s">
        <v>76</v>
      </c>
      <c r="B37" s="34" t="s">
        <v>111</v>
      </c>
      <c r="C37" s="169"/>
      <c r="D37" s="175"/>
      <c r="G37" s="15"/>
    </row>
    <row r="38" spans="1:7">
      <c r="A38" s="173" t="s">
        <v>77</v>
      </c>
      <c r="B38" s="33">
        <f>IF((B24-(B29-B18)*0.1)&lt;0,0,B24-(B29-B18)*0.1)</f>
        <v>38.899999999999991</v>
      </c>
      <c r="C38" s="169">
        <f>IF(ISERROR(B38/SUM($B$32,$B$34,$B$35,$B$36,$B$38,$B$39)*100),0,B38/SUM($B$32,$B$34,$B$35,$B$36,$B$38,$B$39)*100)</f>
        <v>1.0185912542550402</v>
      </c>
      <c r="D38" s="236"/>
      <c r="G38" s="15"/>
    </row>
    <row r="39" spans="1:7">
      <c r="A39" s="173" t="s">
        <v>78</v>
      </c>
      <c r="B39" s="33">
        <f>IF((B25-(B29-B18))&lt;0,0,B25-(B29-B18)*0.9)</f>
        <v>382.1</v>
      </c>
      <c r="C39" s="169">
        <f>IF(ISERROR(B39/SUM($B$32,$B$34,$B$35,$B$36,$B$38,$B$39)*100),0,B39/SUM($B$32,$B$34,$B$35,$B$36,$B$38,$B$39)*100)</f>
        <v>10.005236973029588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2631</v>
      </c>
      <c r="C44" s="34" t="s">
        <v>111</v>
      </c>
      <c r="D44" s="176"/>
    </row>
    <row r="45" spans="1:7">
      <c r="A45" s="173" t="s">
        <v>72</v>
      </c>
      <c r="B45" s="33" t="str">
        <f t="shared" si="0"/>
        <v>-</v>
      </c>
      <c r="C45" s="34" t="s">
        <v>111</v>
      </c>
      <c r="D45" s="176"/>
    </row>
    <row r="46" spans="1:7">
      <c r="A46" s="173" t="s">
        <v>73</v>
      </c>
      <c r="B46" s="33">
        <f t="shared" si="0"/>
        <v>99.163588390501317</v>
      </c>
      <c r="C46" s="34" t="s">
        <v>111</v>
      </c>
      <c r="D46" s="176"/>
    </row>
    <row r="47" spans="1:7">
      <c r="A47" s="173" t="s">
        <v>74</v>
      </c>
      <c r="B47" s="33">
        <f t="shared" si="0"/>
        <v>509.98416886543544</v>
      </c>
      <c r="C47" s="34" t="s">
        <v>111</v>
      </c>
      <c r="D47" s="176"/>
    </row>
    <row r="48" spans="1:7">
      <c r="A48" s="173" t="s">
        <v>75</v>
      </c>
      <c r="B48" s="33">
        <f t="shared" si="0"/>
        <v>157.85224274406332</v>
      </c>
      <c r="C48" s="33">
        <f>B48*10</f>
        <v>1578.5224274406332</v>
      </c>
      <c r="D48" s="236"/>
    </row>
    <row r="49" spans="1:6">
      <c r="A49" s="173" t="s">
        <v>76</v>
      </c>
      <c r="B49" s="33" t="str">
        <f t="shared" si="0"/>
        <v>-</v>
      </c>
      <c r="C49" s="34" t="s">
        <v>111</v>
      </c>
      <c r="D49" s="236"/>
    </row>
    <row r="50" spans="1:6">
      <c r="A50" s="173" t="s">
        <v>77</v>
      </c>
      <c r="B50" s="33">
        <f t="shared" si="0"/>
        <v>38.899999999999991</v>
      </c>
      <c r="C50" s="33">
        <f>B50*2</f>
        <v>77.799999999999983</v>
      </c>
      <c r="D50" s="236"/>
    </row>
    <row r="51" spans="1:6">
      <c r="A51" s="173" t="s">
        <v>78</v>
      </c>
      <c r="B51" s="33">
        <f t="shared" si="0"/>
        <v>382.1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8410.3949572866568</v>
      </c>
      <c r="C5" s="17">
        <f>IF(ISERROR('Eigen informatie GS &amp; warmtenet'!B58),0,'Eigen informatie GS &amp; warmtenet'!B58)</f>
        <v>0</v>
      </c>
      <c r="D5" s="30">
        <f>SUM(D6:D12)</f>
        <v>8157.4192039999998</v>
      </c>
      <c r="E5" s="17">
        <f>SUM(E6:E12)</f>
        <v>116.73133101045563</v>
      </c>
      <c r="F5" s="17">
        <f>SUM(F6:F12)</f>
        <v>1597.4970064111615</v>
      </c>
      <c r="G5" s="18"/>
      <c r="H5" s="17"/>
      <c r="I5" s="17"/>
      <c r="J5" s="17">
        <f>SUM(J6:J12)</f>
        <v>0</v>
      </c>
      <c r="K5" s="17"/>
      <c r="L5" s="17"/>
      <c r="M5" s="17"/>
      <c r="N5" s="17">
        <f>SUM(N6:N12)</f>
        <v>493.59368486128699</v>
      </c>
      <c r="O5" s="17">
        <f>B38*B39*B40</f>
        <v>0</v>
      </c>
      <c r="P5" s="17">
        <f>B46*B47*B48/1000-B46*B47*B48/1000/B49</f>
        <v>0</v>
      </c>
      <c r="R5" s="32"/>
    </row>
    <row r="6" spans="1:18">
      <c r="A6" s="32" t="s">
        <v>54</v>
      </c>
      <c r="B6" s="37">
        <f>B26</f>
        <v>2817.0239999999999</v>
      </c>
      <c r="C6" s="33"/>
      <c r="D6" s="37">
        <f>IF(ISERROR(TER_kantoor_gas_kWh/1000),0,TER_kantoor_gas_kWh/1000)*0.902</f>
        <v>1142.3171539999998</v>
      </c>
      <c r="E6" s="33">
        <f>$C$26*'E Balans VL '!I12/100/3.6*1000000</f>
        <v>10.944734638729878</v>
      </c>
      <c r="F6" s="33">
        <f>$C$26*('E Balans VL '!L12+'E Balans VL '!N12)/100/3.6*1000000</f>
        <v>428.44371752523017</v>
      </c>
      <c r="G6" s="34"/>
      <c r="H6" s="33"/>
      <c r="I6" s="33"/>
      <c r="J6" s="33">
        <f>$C$26*('E Balans VL '!D12+'E Balans VL '!E12)/100/3.6*1000000</f>
        <v>0</v>
      </c>
      <c r="K6" s="33"/>
      <c r="L6" s="33"/>
      <c r="M6" s="33"/>
      <c r="N6" s="33">
        <f>$C$26*'E Balans VL '!Y12/100/3.6*1000000</f>
        <v>1.5525176951643171</v>
      </c>
      <c r="O6" s="33"/>
      <c r="P6" s="33"/>
      <c r="R6" s="32"/>
    </row>
    <row r="7" spans="1:18">
      <c r="A7" s="32" t="s">
        <v>53</v>
      </c>
      <c r="B7" s="37">
        <f t="shared" ref="B7:B12" si="0">B27</f>
        <v>833.36099999999999</v>
      </c>
      <c r="C7" s="33"/>
      <c r="D7" s="37">
        <f>IF(ISERROR(TER_horeca_gas_kWh/1000),0,TER_horeca_gas_kWh/1000)*0.902</f>
        <v>1964.674162</v>
      </c>
      <c r="E7" s="33">
        <f>$C$27*'E Balans VL '!I9/100/3.6*1000000</f>
        <v>46.943447933816707</v>
      </c>
      <c r="F7" s="33">
        <f>$C$27*('E Balans VL '!L9+'E Balans VL '!N9)/100/3.6*1000000</f>
        <v>240.29142009543136</v>
      </c>
      <c r="G7" s="34"/>
      <c r="H7" s="33"/>
      <c r="I7" s="33"/>
      <c r="J7" s="33">
        <f>$C$27*('E Balans VL '!D9+'E Balans VL '!E9)/100/3.6*1000000</f>
        <v>0</v>
      </c>
      <c r="K7" s="33"/>
      <c r="L7" s="33"/>
      <c r="M7" s="33"/>
      <c r="N7" s="33">
        <f>$C$27*'E Balans VL '!Y9/100/3.6*1000000</f>
        <v>0.23008664154879574</v>
      </c>
      <c r="O7" s="33"/>
      <c r="P7" s="33"/>
      <c r="R7" s="32"/>
    </row>
    <row r="8" spans="1:18">
      <c r="A8" s="6" t="s">
        <v>52</v>
      </c>
      <c r="B8" s="37">
        <f t="shared" si="0"/>
        <v>3843.431</v>
      </c>
      <c r="C8" s="33"/>
      <c r="D8" s="37">
        <f>IF(ISERROR(TER_handel_gas_kWh/1000),0,TER_handel_gas_kWh/1000)*0.902</f>
        <v>1796.45928</v>
      </c>
      <c r="E8" s="33">
        <f>$C$28*'E Balans VL '!I13/100/3.6*1000000</f>
        <v>55.396880174273477</v>
      </c>
      <c r="F8" s="33">
        <f>$C$28*('E Balans VL '!L13+'E Balans VL '!N13)/100/3.6*1000000</f>
        <v>667.69347216812878</v>
      </c>
      <c r="G8" s="34"/>
      <c r="H8" s="33"/>
      <c r="I8" s="33"/>
      <c r="J8" s="33">
        <f>$C$28*('E Balans VL '!D13+'E Balans VL '!E13)/100/3.6*1000000</f>
        <v>0</v>
      </c>
      <c r="K8" s="33"/>
      <c r="L8" s="33"/>
      <c r="M8" s="33"/>
      <c r="N8" s="33">
        <f>$C$28*'E Balans VL '!Y13/100/3.6*1000000</f>
        <v>11.515347135552892</v>
      </c>
      <c r="O8" s="33"/>
      <c r="P8" s="33"/>
      <c r="R8" s="32"/>
    </row>
    <row r="9" spans="1:18">
      <c r="A9" s="32" t="s">
        <v>51</v>
      </c>
      <c r="B9" s="37">
        <f t="shared" si="0"/>
        <v>131.459</v>
      </c>
      <c r="C9" s="33"/>
      <c r="D9" s="37">
        <f>IF(ISERROR(TER_gezond_gas_kWh/1000),0,TER_gezond_gas_kWh/1000)*0.902</f>
        <v>1797.1348779999998</v>
      </c>
      <c r="E9" s="33">
        <f>$C$29*'E Balans VL '!I10/100/3.6*1000000</f>
        <v>0.14043228492151164</v>
      </c>
      <c r="F9" s="33">
        <f>$C$29*('E Balans VL '!L10+'E Balans VL '!N10)/100/3.6*1000000</f>
        <v>21.44495808893042</v>
      </c>
      <c r="G9" s="34"/>
      <c r="H9" s="33"/>
      <c r="I9" s="33"/>
      <c r="J9" s="33">
        <f>$C$29*('E Balans VL '!D10+'E Balans VL '!E10)/100/3.6*1000000</f>
        <v>0</v>
      </c>
      <c r="K9" s="33"/>
      <c r="L9" s="33"/>
      <c r="M9" s="33"/>
      <c r="N9" s="33">
        <f>$C$29*'E Balans VL '!Y10/100/3.6*1000000</f>
        <v>1.3532953959910528</v>
      </c>
      <c r="O9" s="33"/>
      <c r="P9" s="33"/>
      <c r="R9" s="32"/>
    </row>
    <row r="10" spans="1:18">
      <c r="A10" s="32" t="s">
        <v>50</v>
      </c>
      <c r="B10" s="37">
        <f t="shared" si="0"/>
        <v>687.52599999999995</v>
      </c>
      <c r="C10" s="33"/>
      <c r="D10" s="37">
        <f>IF(ISERROR(TER_ander_gas_kWh/1000),0,TER_ander_gas_kWh/1000)*0.902</f>
        <v>1181.814832</v>
      </c>
      <c r="E10" s="33">
        <f>$C$30*'E Balans VL '!I14/100/3.6*1000000</f>
        <v>3.1618274935320114</v>
      </c>
      <c r="F10" s="33">
        <f>$C$30*('E Balans VL '!L14+'E Balans VL '!N14)/100/3.6*1000000</f>
        <v>206.0732287191874</v>
      </c>
      <c r="G10" s="34"/>
      <c r="H10" s="33"/>
      <c r="I10" s="33"/>
      <c r="J10" s="33">
        <f>$C$30*('E Balans VL '!D14+'E Balans VL '!E14)/100/3.6*1000000</f>
        <v>0</v>
      </c>
      <c r="K10" s="33"/>
      <c r="L10" s="33"/>
      <c r="M10" s="33"/>
      <c r="N10" s="33">
        <f>$C$30*'E Balans VL '!Y14/100/3.6*1000000</f>
        <v>478.5634801197512</v>
      </c>
      <c r="O10" s="33"/>
      <c r="P10" s="33"/>
      <c r="R10" s="32"/>
    </row>
    <row r="11" spans="1:18">
      <c r="A11" s="32" t="s">
        <v>55</v>
      </c>
      <c r="B11" s="37">
        <f t="shared" si="0"/>
        <v>92.82</v>
      </c>
      <c r="C11" s="33"/>
      <c r="D11" s="37">
        <f>IF(ISERROR(TER_onderwijs_gas_kWh/1000),0,TER_onderwijs_gas_kWh/1000)*0.902</f>
        <v>275.01889800000004</v>
      </c>
      <c r="E11" s="33">
        <f>$C$31*'E Balans VL '!I11/100/3.6*1000000</f>
        <v>8.6102756644794692E-2</v>
      </c>
      <c r="F11" s="33">
        <f>$C$31*('E Balans VL '!L11+'E Balans VL '!N11)/100/3.6*1000000</f>
        <v>32.605532685677211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4.7739572866576001</v>
      </c>
      <c r="C12" s="33"/>
      <c r="D12" s="37">
        <f>IF(ISERROR(TER_rest_gas_kWh/1000),0,TER_rest_gas_kWh/1000)*0.902</f>
        <v>0</v>
      </c>
      <c r="E12" s="33">
        <f>$C$32*'E Balans VL '!I8/100/3.6*1000000</f>
        <v>5.7905728537254821E-2</v>
      </c>
      <c r="F12" s="33">
        <f>$C$32*('E Balans VL '!L8+'E Balans VL '!N8)/100/3.6*1000000</f>
        <v>0.9446771285762301</v>
      </c>
      <c r="G12" s="34"/>
      <c r="H12" s="33"/>
      <c r="I12" s="33"/>
      <c r="J12" s="33">
        <f>$C$32*('E Balans VL '!D8+'E Balans VL '!E8)/100/3.6*1000000</f>
        <v>0</v>
      </c>
      <c r="K12" s="33"/>
      <c r="L12" s="33"/>
      <c r="M12" s="33"/>
      <c r="N12" s="33">
        <f>$C$32*'E Balans VL '!Y8/100/3.6*1000000</f>
        <v>0.37895787327874014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8410.3949572866568</v>
      </c>
      <c r="C16" s="21">
        <f t="shared" ca="1" si="1"/>
        <v>0</v>
      </c>
      <c r="D16" s="21">
        <f t="shared" ca="1" si="1"/>
        <v>8157.4192039999998</v>
      </c>
      <c r="E16" s="21">
        <f t="shared" si="1"/>
        <v>116.73133101045563</v>
      </c>
      <c r="F16" s="21">
        <f t="shared" ca="1" si="1"/>
        <v>1597.4970064111615</v>
      </c>
      <c r="G16" s="21">
        <f t="shared" si="1"/>
        <v>0</v>
      </c>
      <c r="H16" s="21">
        <f t="shared" si="1"/>
        <v>0</v>
      </c>
      <c r="I16" s="21">
        <f t="shared" si="1"/>
        <v>0</v>
      </c>
      <c r="J16" s="21">
        <f t="shared" si="1"/>
        <v>0</v>
      </c>
      <c r="K16" s="21">
        <f t="shared" si="1"/>
        <v>0</v>
      </c>
      <c r="L16" s="21">
        <f t="shared" ca="1" si="1"/>
        <v>0</v>
      </c>
      <c r="M16" s="21">
        <f t="shared" si="1"/>
        <v>0</v>
      </c>
      <c r="N16" s="21">
        <f t="shared" ca="1" si="1"/>
        <v>493.59368486128699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0.20409377138823256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1716.5092256972068</v>
      </c>
      <c r="C20" s="23">
        <f t="shared" ref="C20:P20" ca="1" si="2">C16*C18</f>
        <v>0</v>
      </c>
      <c r="D20" s="23">
        <f t="shared" ca="1" si="2"/>
        <v>1647.7986792080001</v>
      </c>
      <c r="E20" s="23">
        <f t="shared" si="2"/>
        <v>26.498012139373429</v>
      </c>
      <c r="F20" s="23">
        <f t="shared" ca="1" si="2"/>
        <v>426.53170071178016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2817.0239999999999</v>
      </c>
      <c r="C26" s="39">
        <f>IF(ISERROR(B26*3.6/1000000/'E Balans VL '!Z12*100),0,B26*3.6/1000000/'E Balans VL '!Z12*100)</f>
        <v>5.9834985132293683E-2</v>
      </c>
      <c r="D26" s="239" t="s">
        <v>692</v>
      </c>
      <c r="F26" s="6"/>
    </row>
    <row r="27" spans="1:18">
      <c r="A27" s="233" t="s">
        <v>53</v>
      </c>
      <c r="B27" s="33">
        <f>IF(ISERROR(TER_horeca_ele_kWh/1000),0,TER_horeca_ele_kWh/1000)</f>
        <v>833.36099999999999</v>
      </c>
      <c r="C27" s="39">
        <f>IF(ISERROR(B27*3.6/1000000/'E Balans VL '!Z9*100),0,B27*3.6/1000000/'E Balans VL '!Z9*100)</f>
        <v>6.4798892983738657E-2</v>
      </c>
      <c r="D27" s="239" t="s">
        <v>692</v>
      </c>
      <c r="F27" s="6"/>
    </row>
    <row r="28" spans="1:18">
      <c r="A28" s="173" t="s">
        <v>52</v>
      </c>
      <c r="B28" s="33">
        <f>IF(ISERROR(TER_handel_ele_kWh/1000),0,TER_handel_ele_kWh/1000)</f>
        <v>3843.431</v>
      </c>
      <c r="C28" s="39">
        <f>IF(ISERROR(B28*3.6/1000000/'E Balans VL '!Z13*100),0,B28*3.6/1000000/'E Balans VL '!Z13*100)</f>
        <v>0.10996508417580174</v>
      </c>
      <c r="D28" s="239" t="s">
        <v>692</v>
      </c>
      <c r="F28" s="6"/>
    </row>
    <row r="29" spans="1:18">
      <c r="A29" s="233" t="s">
        <v>51</v>
      </c>
      <c r="B29" s="33">
        <f>IF(ISERROR(TER_gezond_ele_kWh/1000),0,TER_gezond_ele_kWh/1000)</f>
        <v>131.459</v>
      </c>
      <c r="C29" s="39">
        <f>IF(ISERROR(B29*3.6/1000000/'E Balans VL '!Z10*100),0,B29*3.6/1000000/'E Balans VL '!Z10*100)</f>
        <v>1.4332085740799359E-2</v>
      </c>
      <c r="D29" s="239" t="s">
        <v>692</v>
      </c>
      <c r="F29" s="6"/>
    </row>
    <row r="30" spans="1:18">
      <c r="A30" s="233" t="s">
        <v>50</v>
      </c>
      <c r="B30" s="33">
        <f>IF(ISERROR(TER_ander_ele_kWh/1000),0,TER_ander_ele_kWh/1000)</f>
        <v>687.52599999999995</v>
      </c>
      <c r="C30" s="39">
        <f>IF(ISERROR(B30*3.6/1000000/'E Balans VL '!Z14*100),0,B30*3.6/1000000/'E Balans VL '!Z14*100)</f>
        <v>5.0311593064240379E-2</v>
      </c>
      <c r="D30" s="239" t="s">
        <v>692</v>
      </c>
      <c r="F30" s="6"/>
    </row>
    <row r="31" spans="1:18">
      <c r="A31" s="233" t="s">
        <v>55</v>
      </c>
      <c r="B31" s="33">
        <f>IF(ISERROR(TER_onderwijs_ele_kWh/1000),0,TER_onderwijs_ele_kWh/1000)</f>
        <v>92.82</v>
      </c>
      <c r="C31" s="39">
        <f>IF(ISERROR(B31*3.6/1000000/'E Balans VL '!Z11*100),0,B31*3.6/1000000/'E Balans VL '!Z11*100)</f>
        <v>1.8642965926231363E-2</v>
      </c>
      <c r="D31" s="239" t="s">
        <v>692</v>
      </c>
    </row>
    <row r="32" spans="1:18">
      <c r="A32" s="233" t="s">
        <v>260</v>
      </c>
      <c r="B32" s="33">
        <f>IF(ISERROR(TER_rest_ele_kWh/1000),0,TER_rest_ele_kWh/1000)</f>
        <v>4.7739572866576001</v>
      </c>
      <c r="C32" s="39">
        <f>IF(ISERROR(B32*3.6/1000000/'E Balans VL '!Z8*100),0,B32*3.6/1000000/'E Balans VL '!Z8*100)</f>
        <v>3.8904854718784903E-5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5759.9420000000009</v>
      </c>
      <c r="C5" s="17">
        <f>IF(ISERROR('Eigen informatie GS &amp; warmtenet'!B59),0,'Eigen informatie GS &amp; warmtenet'!B59)</f>
        <v>0</v>
      </c>
      <c r="D5" s="30">
        <f>SUM(D6:D15)</f>
        <v>1985.6285240000002</v>
      </c>
      <c r="E5" s="17">
        <f>SUM(E6:E15)</f>
        <v>694.66616286448118</v>
      </c>
      <c r="F5" s="17">
        <f>SUM(F6:F15)</f>
        <v>5210.1519158241845</v>
      </c>
      <c r="G5" s="18"/>
      <c r="H5" s="17"/>
      <c r="I5" s="17"/>
      <c r="J5" s="17">
        <f>SUM(J6:J15)</f>
        <v>0.21228687816144923</v>
      </c>
      <c r="K5" s="17"/>
      <c r="L5" s="17"/>
      <c r="M5" s="17"/>
      <c r="N5" s="17">
        <f>SUM(N6:N15)</f>
        <v>1500.1840358591148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903.23199999999997</v>
      </c>
      <c r="C8" s="33"/>
      <c r="D8" s="37">
        <f>IF( ISERROR(IND_metaal_Gas_kWH/1000),0,IND_metaal_Gas_kWH/1000)*0.902</f>
        <v>194.03824</v>
      </c>
      <c r="E8" s="33">
        <f>C30*'E Balans VL '!I18/100/3.6*1000000</f>
        <v>25.944213357008802</v>
      </c>
      <c r="F8" s="33">
        <f>C30*'E Balans VL '!L18/100/3.6*1000000+C30*'E Balans VL '!N18/100/3.6*1000000</f>
        <v>231.6616363521382</v>
      </c>
      <c r="G8" s="34"/>
      <c r="H8" s="33"/>
      <c r="I8" s="33"/>
      <c r="J8" s="40">
        <f>C30*'E Balans VL '!D18/100/3.6*1000000+C30*'E Balans VL '!E18/100/3.6*1000000</f>
        <v>0</v>
      </c>
      <c r="K8" s="33"/>
      <c r="L8" s="33"/>
      <c r="M8" s="33"/>
      <c r="N8" s="33">
        <f>C30*'E Balans VL '!Y18/100/3.6*1000000</f>
        <v>24.524592557731395</v>
      </c>
      <c r="O8" s="33"/>
      <c r="P8" s="33"/>
      <c r="R8" s="32"/>
    </row>
    <row r="9" spans="1:18">
      <c r="A9" s="6" t="s">
        <v>33</v>
      </c>
      <c r="B9" s="37">
        <f t="shared" si="0"/>
        <v>1695.729</v>
      </c>
      <c r="C9" s="33"/>
      <c r="D9" s="37">
        <f>IF( ISERROR(IND_andere_gas_kWh/1000),0,IND_andere_gas_kWh/1000)*0.902</f>
        <v>1176.17643</v>
      </c>
      <c r="E9" s="33">
        <f>C31*'E Balans VL '!I19/100/3.6*1000000</f>
        <v>458.99214734249205</v>
      </c>
      <c r="F9" s="33">
        <f>C31*'E Balans VL '!L19/100/3.6*1000000+C31*'E Balans VL '!N19/100/3.6*1000000</f>
        <v>1129.5349596126389</v>
      </c>
      <c r="G9" s="34"/>
      <c r="H9" s="33"/>
      <c r="I9" s="33"/>
      <c r="J9" s="40">
        <f>C31*'E Balans VL '!D19/100/3.6*1000000+C31*'E Balans VL '!E19/100/3.6*1000000</f>
        <v>0</v>
      </c>
      <c r="K9" s="33"/>
      <c r="L9" s="33"/>
      <c r="M9" s="33"/>
      <c r="N9" s="33">
        <f>C31*'E Balans VL '!Y19/100/3.6*1000000</f>
        <v>553.627350029779</v>
      </c>
      <c r="O9" s="33"/>
      <c r="P9" s="33"/>
      <c r="R9" s="32"/>
    </row>
    <row r="10" spans="1:18">
      <c r="A10" s="6" t="s">
        <v>41</v>
      </c>
      <c r="B10" s="37">
        <f t="shared" si="0"/>
        <v>2556.9780000000001</v>
      </c>
      <c r="C10" s="33"/>
      <c r="D10" s="37">
        <f>IF( ISERROR(IND_voed_gas_kWh/1000),0,IND_voed_gas_kWh/1000)*0.902</f>
        <v>460.21212600000001</v>
      </c>
      <c r="E10" s="33">
        <f>C32*'E Balans VL '!I20/100/3.6*1000000</f>
        <v>208.5530001840925</v>
      </c>
      <c r="F10" s="33">
        <f>C32*'E Balans VL '!L20/100/3.6*1000000+C32*'E Balans VL '!N20/100/3.6*1000000</f>
        <v>3812.6861873713683</v>
      </c>
      <c r="G10" s="34"/>
      <c r="H10" s="33"/>
      <c r="I10" s="33"/>
      <c r="J10" s="40">
        <f>C32*'E Balans VL '!D20/100/3.6*1000000+C32*'E Balans VL '!E20/100/3.6*1000000</f>
        <v>3.3825715185078625E-2</v>
      </c>
      <c r="K10" s="33"/>
      <c r="L10" s="33"/>
      <c r="M10" s="33"/>
      <c r="N10" s="33">
        <f>C32*'E Balans VL '!Y20/100/3.6*1000000</f>
        <v>751.14991037525931</v>
      </c>
      <c r="O10" s="33"/>
      <c r="P10" s="33"/>
      <c r="R10" s="32"/>
    </row>
    <row r="11" spans="1:18">
      <c r="A11" s="6" t="s">
        <v>40</v>
      </c>
      <c r="B11" s="37">
        <f t="shared" si="0"/>
        <v>492.678</v>
      </c>
      <c r="C11" s="33"/>
      <c r="D11" s="37">
        <f>IF( ISERROR(IND_textiel_gas_kWh/1000),0,IND_textiel_gas_kWh/1000)*0.902</f>
        <v>0</v>
      </c>
      <c r="E11" s="33">
        <f>C33*'E Balans VL '!I21/100/3.6*1000000</f>
        <v>9.7658859648878632E-2</v>
      </c>
      <c r="F11" s="33">
        <f>C33*'E Balans VL '!L21/100/3.6*1000000+C33*'E Balans VL '!N21/100/3.6*1000000</f>
        <v>18.145925157904571</v>
      </c>
      <c r="G11" s="34"/>
      <c r="H11" s="33"/>
      <c r="I11" s="33"/>
      <c r="J11" s="40">
        <f>C33*'E Balans VL '!D21/100/3.6*1000000+C33*'E Balans VL '!E21/100/3.6*1000000</f>
        <v>0</v>
      </c>
      <c r="K11" s="33"/>
      <c r="L11" s="33"/>
      <c r="M11" s="33"/>
      <c r="N11" s="33">
        <f>C33*'E Balans VL '!Y21/100/3.6*1000000</f>
        <v>2.2908283274558698</v>
      </c>
      <c r="O11" s="33"/>
      <c r="P11" s="33"/>
      <c r="R11" s="32"/>
    </row>
    <row r="12" spans="1:18">
      <c r="A12" s="6" t="s">
        <v>37</v>
      </c>
      <c r="B12" s="37">
        <f t="shared" si="0"/>
        <v>32.448</v>
      </c>
      <c r="C12" s="33"/>
      <c r="D12" s="37">
        <f>IF( ISERROR(IND_min_gas_kWh/1000),0,IND_min_gas_kWh/1000)*0.902</f>
        <v>0</v>
      </c>
      <c r="E12" s="33">
        <f>C34*'E Balans VL '!I22/100/3.6*1000000</f>
        <v>0.25276284988174347</v>
      </c>
      <c r="F12" s="33">
        <f>C34*'E Balans VL '!L22/100/3.6*1000000+C34*'E Balans VL '!N22/100/3.6*1000000</f>
        <v>12.237391609499058</v>
      </c>
      <c r="G12" s="34"/>
      <c r="H12" s="33"/>
      <c r="I12" s="33"/>
      <c r="J12" s="40">
        <f>C34*'E Balans VL '!D22/100/3.6*1000000+C34*'E Balans VL '!E22/100/3.6*1000000</f>
        <v>0.1784611629763706</v>
      </c>
      <c r="K12" s="33"/>
      <c r="L12" s="33"/>
      <c r="M12" s="33"/>
      <c r="N12" s="33">
        <f>C34*'E Balans VL '!Y22/100/3.6*1000000</f>
        <v>0</v>
      </c>
      <c r="O12" s="33"/>
      <c r="P12" s="33"/>
      <c r="R12" s="32"/>
    </row>
    <row r="13" spans="1:18">
      <c r="A13" s="6" t="s">
        <v>39</v>
      </c>
      <c r="B13" s="37">
        <f t="shared" si="0"/>
        <v>78.876999999999995</v>
      </c>
      <c r="C13" s="33"/>
      <c r="D13" s="37">
        <f>IF( ISERROR(IND_papier_gas_kWh/1000),0,IND_papier_gas_kWh/1000)*0.902</f>
        <v>149.05099000000001</v>
      </c>
      <c r="E13" s="33">
        <f>C35*'E Balans VL '!I23/100/3.6*1000000</f>
        <v>0.82638027135726</v>
      </c>
      <c r="F13" s="33">
        <f>C35*'E Balans VL '!L23/100/3.6*1000000+C35*'E Balans VL '!N23/100/3.6*1000000</f>
        <v>5.8858157206353461</v>
      </c>
      <c r="G13" s="34"/>
      <c r="H13" s="33"/>
      <c r="I13" s="33"/>
      <c r="J13" s="40">
        <f>C35*'E Balans VL '!D23/100/3.6*1000000+C35*'E Balans VL '!E23/100/3.6*1000000</f>
        <v>0</v>
      </c>
      <c r="K13" s="33"/>
      <c r="L13" s="33"/>
      <c r="M13" s="33"/>
      <c r="N13" s="33">
        <f>C35*'E Balans VL '!Y23/100/3.6*1000000</f>
        <v>168.59135456888902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6.1507380000000005</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5759.9420000000009</v>
      </c>
      <c r="C18" s="21">
        <f>C5+C16</f>
        <v>0</v>
      </c>
      <c r="D18" s="21">
        <f>MAX((D5+D16),0)</f>
        <v>1985.6285240000002</v>
      </c>
      <c r="E18" s="21">
        <f>MAX((E5+E16),0)</f>
        <v>694.66616286448118</v>
      </c>
      <c r="F18" s="21">
        <f>MAX((F5+F16),0)</f>
        <v>5210.1519158241845</v>
      </c>
      <c r="G18" s="21"/>
      <c r="H18" s="21"/>
      <c r="I18" s="21"/>
      <c r="J18" s="21">
        <f>MAX((J5+J16),0)</f>
        <v>0.21228687816144923</v>
      </c>
      <c r="K18" s="21"/>
      <c r="L18" s="21">
        <f>MAX((L5+L16),0)</f>
        <v>0</v>
      </c>
      <c r="M18" s="21"/>
      <c r="N18" s="21">
        <f>MAX((N5+N16),0)</f>
        <v>1500.1840358591148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0.20409377138823256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1175.5682857574793</v>
      </c>
      <c r="C22" s="23">
        <f ca="1">C18*C20</f>
        <v>0</v>
      </c>
      <c r="D22" s="23">
        <f>D18*D20</f>
        <v>401.09696184800009</v>
      </c>
      <c r="E22" s="23">
        <f>E18*E20</f>
        <v>157.68921897023722</v>
      </c>
      <c r="F22" s="23">
        <f>F18*F20</f>
        <v>1391.1105615250574</v>
      </c>
      <c r="G22" s="23"/>
      <c r="H22" s="23"/>
      <c r="I22" s="23"/>
      <c r="J22" s="23">
        <f>J18*J20</f>
        <v>7.5149554869153021E-2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903.23199999999997</v>
      </c>
      <c r="C30" s="39">
        <f>IF(ISERROR(B30*3.6/1000000/'E Balans VL '!Z18*100),0,B30*3.6/1000000/'E Balans VL '!Z18*100)</f>
        <v>8.8875723094319431E-2</v>
      </c>
      <c r="D30" s="239" t="s">
        <v>692</v>
      </c>
    </row>
    <row r="31" spans="1:18">
      <c r="A31" s="6" t="s">
        <v>33</v>
      </c>
      <c r="B31" s="37">
        <f>IF( ISERROR(IND_ander_ele_kWh/1000),0,IND_ander_ele_kWh/1000)</f>
        <v>1695.729</v>
      </c>
      <c r="C31" s="39">
        <f>IF(ISERROR(B31*3.6/1000000/'E Balans VL '!Z19*100),0,B31*3.6/1000000/'E Balans VL '!Z19*100)</f>
        <v>7.3847645280301383E-2</v>
      </c>
      <c r="D31" s="239" t="s">
        <v>692</v>
      </c>
    </row>
    <row r="32" spans="1:18">
      <c r="A32" s="173" t="s">
        <v>41</v>
      </c>
      <c r="B32" s="37">
        <f>IF( ISERROR(IND_voed_ele_kWh/1000),0,IND_voed_ele_kWh/1000)</f>
        <v>2556.9780000000001</v>
      </c>
      <c r="C32" s="39">
        <f>IF(ISERROR(B32*3.6/1000000/'E Balans VL '!Z20*100),0,B32*3.6/1000000/'E Balans VL '!Z20*100)</f>
        <v>0.48514969986565043</v>
      </c>
      <c r="D32" s="239" t="s">
        <v>692</v>
      </c>
    </row>
    <row r="33" spans="1:5">
      <c r="A33" s="173" t="s">
        <v>40</v>
      </c>
      <c r="B33" s="37">
        <f>IF( ISERROR(IND_textiel_ele_kWh/1000),0,IND_textiel_ele_kWh/1000)</f>
        <v>492.678</v>
      </c>
      <c r="C33" s="39">
        <f>IF(ISERROR(B33*3.6/1000000/'E Balans VL '!Z21*100),0,B33*3.6/1000000/'E Balans VL '!Z21*100)</f>
        <v>2.8129415304049159E-2</v>
      </c>
      <c r="D33" s="239" t="s">
        <v>692</v>
      </c>
    </row>
    <row r="34" spans="1:5">
      <c r="A34" s="173" t="s">
        <v>37</v>
      </c>
      <c r="B34" s="37">
        <f>IF( ISERROR(IND_min_ele_kWh/1000),0,IND_min_ele_kWh/1000)</f>
        <v>32.448</v>
      </c>
      <c r="C34" s="39">
        <f>IF(ISERROR(B34*3.6/1000000/'E Balans VL '!Z22*100),0,B34*3.6/1000000/'E Balans VL '!Z22*100)</f>
        <v>4.5625146326599168E-3</v>
      </c>
      <c r="D34" s="239" t="s">
        <v>692</v>
      </c>
    </row>
    <row r="35" spans="1:5">
      <c r="A35" s="173" t="s">
        <v>39</v>
      </c>
      <c r="B35" s="37">
        <f>IF( ISERROR(IND_papier_ele_kWh/1000),0,IND_papier_ele_kWh/1000)</f>
        <v>78.876999999999995</v>
      </c>
      <c r="C35" s="39">
        <f>IF(ISERROR(B35*3.6/1000000/'E Balans VL '!Z22*100),0,B35*3.6/1000000/'E Balans VL '!Z22*100)</f>
        <v>1.109089825814584E-2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2114.915</v>
      </c>
      <c r="C5" s="17">
        <f>'Eigen informatie GS &amp; warmtenet'!B60</f>
        <v>0</v>
      </c>
      <c r="D5" s="30">
        <f>IF(ISERROR(SUM(LB_lb_gas_kWh,LB_rest_gas_kWh)/1000),0,SUM(LB_lb_gas_kWh,LB_rest_gas_kWh)/1000)*0.902</f>
        <v>649.33536800000002</v>
      </c>
      <c r="E5" s="17">
        <f>B17*'E Balans VL '!I25/3.6*1000000/100</f>
        <v>26.650653564480013</v>
      </c>
      <c r="F5" s="17">
        <f>B17*('E Balans VL '!L25/3.6*1000000+'E Balans VL '!N25/3.6*1000000)/100</f>
        <v>7296.9865678654141</v>
      </c>
      <c r="G5" s="18"/>
      <c r="H5" s="17"/>
      <c r="I5" s="17"/>
      <c r="J5" s="17">
        <f>('E Balans VL '!D25+'E Balans VL '!E25)/3.6*1000000*landbouw!B17/100</f>
        <v>318.05917449478363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2114.915</v>
      </c>
      <c r="C8" s="21">
        <f>C5+C6</f>
        <v>0</v>
      </c>
      <c r="D8" s="21">
        <f>MAX((D5+D6),0)</f>
        <v>649.33536800000002</v>
      </c>
      <c r="E8" s="21">
        <f>MAX((E5+E6),0)</f>
        <v>26.650653564480013</v>
      </c>
      <c r="F8" s="21">
        <f>MAX((F5+F6),0)</f>
        <v>7296.9865678654141</v>
      </c>
      <c r="G8" s="21"/>
      <c r="H8" s="21"/>
      <c r="I8" s="21"/>
      <c r="J8" s="21">
        <f>MAX((J5+J6),0)</f>
        <v>318.05917449478363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0.20409377138823256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431.64097851554385</v>
      </c>
      <c r="C12" s="23">
        <f ca="1">C8*C10</f>
        <v>0</v>
      </c>
      <c r="D12" s="23">
        <f>D8*D10</f>
        <v>131.16574433600002</v>
      </c>
      <c r="E12" s="23">
        <f>E8*E10</f>
        <v>6.0496983591369631</v>
      </c>
      <c r="F12" s="23">
        <f>F8*F10</f>
        <v>1948.2954136200656</v>
      </c>
      <c r="G12" s="23"/>
      <c r="H12" s="23"/>
      <c r="I12" s="23"/>
      <c r="J12" s="23">
        <f>J8*J10</f>
        <v>112.5929477711534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0.29496398424846482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275.74403020512779</v>
      </c>
      <c r="C26" s="249">
        <f>B26*'GWP N2O_CH4'!B5</f>
        <v>5790.6246343076837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177.8840927728011</v>
      </c>
      <c r="C27" s="249">
        <f>B27*'GWP N2O_CH4'!B5</f>
        <v>3735.5659482288229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4.4224415365354695</v>
      </c>
      <c r="C28" s="249">
        <f>B28*'GWP N2O_CH4'!B4</f>
        <v>1370.9568763259956</v>
      </c>
      <c r="D28" s="50"/>
    </row>
    <row r="29" spans="1:4">
      <c r="A29" s="41" t="s">
        <v>277</v>
      </c>
      <c r="B29" s="249">
        <f>B34*'ha_N2O bodem landbouw'!B4</f>
        <v>9.9356490916717171</v>
      </c>
      <c r="C29" s="249">
        <f>B29*'GWP N2O_CH4'!B4</f>
        <v>3080.0512184182321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2.4808322984137842E-3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1.7794983554450727E-5</v>
      </c>
      <c r="C5" s="448" t="s">
        <v>211</v>
      </c>
      <c r="D5" s="433">
        <f>SUM(D6:D11)</f>
        <v>3.0889760814306563E-5</v>
      </c>
      <c r="E5" s="433">
        <f>SUM(E6:E11)</f>
        <v>1.0723009687262106E-3</v>
      </c>
      <c r="F5" s="446" t="s">
        <v>211</v>
      </c>
      <c r="G5" s="433">
        <f>SUM(G6:G11)</f>
        <v>0.29433561979410661</v>
      </c>
      <c r="H5" s="433">
        <f>SUM(H6:H11)</f>
        <v>4.7229626715952766E-2</v>
      </c>
      <c r="I5" s="448" t="s">
        <v>211</v>
      </c>
      <c r="J5" s="448" t="s">
        <v>211</v>
      </c>
      <c r="K5" s="448" t="s">
        <v>211</v>
      </c>
      <c r="L5" s="448" t="s">
        <v>211</v>
      </c>
      <c r="M5" s="433">
        <f>SUM(M6:M11)</f>
        <v>1.5437844774687711E-2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2.0204541612582985E-6</v>
      </c>
      <c r="C6" s="887"/>
      <c r="D6" s="887">
        <f>vkm_2011_GW_PW*SUMIFS(TableVerdeelsleutelVkm[CNG],TableVerdeelsleutelVkm[Voertuigtype],"Lichte voertuigen")*SUMIFS(TableECFTransport[EnergieConsumptieFactor (PJ per km)],TableECFTransport[Index],CONCATENATE($A6,"_CNG_CNG"))</f>
        <v>2.8613582540080695E-6</v>
      </c>
      <c r="E6" s="887">
        <f>vkm_2011_GW_PW*SUMIFS(TableVerdeelsleutelVkm[LPG],TableVerdeelsleutelVkm[Voertuigtype],"Lichte voertuigen")*SUMIFS(TableECFTransport[EnergieConsumptieFactor (PJ per km)],TableECFTransport[Index],CONCATENATE($A6,"_LPG_LPG"))</f>
        <v>8.9865842918335548E-5</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1.6151352682461689E-2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4.3278849147807439E-3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9.2654614568791279E-4</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1.0181799185667922E-2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3.6174876983738923E-6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4.5947237407733741E-4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4.5031458834075709E-6</v>
      </c>
      <c r="C8" s="887"/>
      <c r="D8" s="436">
        <f>vkm_2011_NGW_PW*SUMIFS(TableVerdeelsleutelVkm[CNG],TableVerdeelsleutelVkm[Voertuigtype],"Lichte voertuigen")*SUMIFS(TableECFTransport[EnergieConsumptieFactor (PJ per km)],TableECFTransport[Index],CONCATENATE($A8,"_CNG_CNG"))</f>
        <v>1.1361331575770608E-5</v>
      </c>
      <c r="E8" s="436">
        <f>vkm_2011_NGW_PW*SUMIFS(TableVerdeelsleutelVkm[LPG],TableVerdeelsleutelVkm[Voertuigtype],"Lichte voertuigen")*SUMIFS(TableECFTransport[EnergieConsumptieFactor (PJ per km)],TableECFTransport[Index],CONCATENATE($A8,"_LPG_LPG"))</f>
        <v>3.2865777665256598E-4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5.5710680135951672E-2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1.6581191823635301E-2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3.2715333695634134E-3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7.1062615091816673E-3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2.3891775366641392E-6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3.2067688989777731E-4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1.1271383509784859E-5</v>
      </c>
      <c r="C10" s="887"/>
      <c r="D10" s="436">
        <f>vkm_2011_SW_PW*SUMIFS(TableVerdeelsleutelVkm[CNG],TableVerdeelsleutelVkm[Voertuigtype],"Lichte voertuigen")*SUMIFS(TableECFTransport[EnergieConsumptieFactor (PJ per km)],TableECFTransport[Index],CONCATENATE($A10,"_CNG_CNG"))</f>
        <v>1.6667070984527885E-5</v>
      </c>
      <c r="E10" s="436">
        <f>vkm_2011_SW_PW*SUMIFS(TableVerdeelsleutelVkm[LPG],TableVerdeelsleutelVkm[Voertuigtype],"Lichte voertuigen")*SUMIFS(TableECFTransport[EnergieConsumptieFactor (PJ per km)],TableECFTransport[Index],CONCATENATE($A10,"_LPG_LPG"))</f>
        <v>6.5377734915530907E-4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0.10641573256633671</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2.6276700264291346E-2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6.0023219569725773E-3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9.876979371450692E-2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3.7843048010340214E-5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4.4572940384886919E-3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4.9430509873474238</v>
      </c>
      <c r="C14" s="21"/>
      <c r="D14" s="21">
        <f t="shared" ref="D14:M14" si="0">((D5)*10^9/3600)+D12</f>
        <v>8.5804891150851557</v>
      </c>
      <c r="E14" s="21">
        <f t="shared" si="0"/>
        <v>297.86138020172513</v>
      </c>
      <c r="F14" s="21"/>
      <c r="G14" s="21">
        <f t="shared" si="0"/>
        <v>81759.894387251828</v>
      </c>
      <c r="H14" s="21">
        <f t="shared" si="0"/>
        <v>13119.340754431325</v>
      </c>
      <c r="I14" s="21"/>
      <c r="J14" s="21"/>
      <c r="K14" s="21"/>
      <c r="L14" s="21"/>
      <c r="M14" s="21">
        <f t="shared" si="0"/>
        <v>4288.2902151910312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0.20409377138823256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1.0088459181720624</v>
      </c>
      <c r="C18" s="23"/>
      <c r="D18" s="23">
        <f t="shared" ref="D18:M18" si="1">D14*D16</f>
        <v>1.7332588012472017</v>
      </c>
      <c r="E18" s="23">
        <f t="shared" si="1"/>
        <v>67.61453330579161</v>
      </c>
      <c r="F18" s="23"/>
      <c r="G18" s="23">
        <f t="shared" si="1"/>
        <v>21829.891801396239</v>
      </c>
      <c r="H18" s="23">
        <f t="shared" si="1"/>
        <v>3266.7158478533997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2.2388964869121709E-3</v>
      </c>
      <c r="H50" s="323">
        <f t="shared" si="2"/>
        <v>0</v>
      </c>
      <c r="I50" s="323">
        <f t="shared" si="2"/>
        <v>0</v>
      </c>
      <c r="J50" s="323">
        <f t="shared" si="2"/>
        <v>0</v>
      </c>
      <c r="K50" s="323">
        <f t="shared" si="2"/>
        <v>0</v>
      </c>
      <c r="L50" s="323">
        <f t="shared" si="2"/>
        <v>0</v>
      </c>
      <c r="M50" s="323">
        <f t="shared" si="2"/>
        <v>9.956920292657109E-5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2.2388964869121709E-3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9.956920292657109E-5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621.91569080893635</v>
      </c>
      <c r="H54" s="21">
        <f t="shared" si="3"/>
        <v>0</v>
      </c>
      <c r="I54" s="21">
        <f t="shared" si="3"/>
        <v>0</v>
      </c>
      <c r="J54" s="21">
        <f t="shared" si="3"/>
        <v>0</v>
      </c>
      <c r="K54" s="21">
        <f t="shared" si="3"/>
        <v>0</v>
      </c>
      <c r="L54" s="21">
        <f t="shared" si="3"/>
        <v>0</v>
      </c>
      <c r="M54" s="21">
        <f t="shared" si="3"/>
        <v>27.658111924047525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0.20409377138823256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166.05148944598602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2652.0464999999999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2652.0464999999999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2019-08-12T08:03:16Z</dcterms:modified>
</cp:coreProperties>
</file>