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D20"/>
  <c r="B17"/>
  <c r="G12"/>
  <c r="F12"/>
  <c r="E12"/>
  <c r="D12"/>
  <c r="C12"/>
  <c r="G10"/>
  <c r="B8"/>
  <c r="B6"/>
  <c r="B5"/>
  <c r="B4"/>
  <c r="O9" l="1"/>
  <c r="I102"/>
  <c r="H17" s="1"/>
  <c r="H20" s="1"/>
  <c r="B102"/>
  <c r="C17" s="1"/>
  <c r="C20" s="1"/>
  <c r="C102"/>
  <c r="F102"/>
  <c r="G102"/>
  <c r="B10"/>
  <c r="C98"/>
  <c r="B20"/>
  <c r="O19"/>
  <c r="D102"/>
  <c r="H102"/>
  <c r="E101"/>
  <c r="E8" s="1"/>
  <c r="E10" s="1"/>
  <c r="E102"/>
  <c r="E17" s="1"/>
  <c r="E20" s="1"/>
  <c r="N6" i="17"/>
  <c r="I101" i="18" l="1"/>
  <c r="H8" s="1"/>
  <c r="H10" s="1"/>
  <c r="H101"/>
  <c r="J8" s="1"/>
  <c r="J10" s="1"/>
  <c r="F101"/>
  <c r="B101"/>
  <c r="C8" s="1"/>
  <c r="C10" s="1"/>
  <c r="C101"/>
  <c r="D101"/>
  <c r="G101"/>
  <c r="I17"/>
  <c r="I20" s="1"/>
  <c r="J17"/>
  <c r="J20" s="1"/>
  <c r="L6" i="17"/>
  <c r="F6"/>
  <c r="D6"/>
  <c r="C6"/>
  <c r="N16" i="16"/>
  <c r="L16"/>
  <c r="F16"/>
  <c r="D16"/>
  <c r="C16"/>
  <c r="B16"/>
  <c r="B13" i="15"/>
  <c r="O8" i="18" l="1"/>
  <c r="O10" s="1"/>
  <c r="I8"/>
  <c r="I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Q26" s="1"/>
  <c r="P24"/>
  <c r="N24"/>
  <c r="L24"/>
  <c r="J24"/>
  <c r="I24"/>
  <c r="I26" s="1"/>
  <c r="H24"/>
  <c r="H26" s="1"/>
  <c r="Q50"/>
  <c r="P50"/>
  <c r="O50"/>
  <c r="M50"/>
  <c r="L50"/>
  <c r="K50"/>
  <c r="J50"/>
  <c r="G50"/>
  <c r="D50"/>
  <c r="Q49"/>
  <c r="P49"/>
  <c r="Q20"/>
  <c r="P20"/>
  <c r="P22" s="1"/>
  <c r="O20"/>
  <c r="M20"/>
  <c r="L20"/>
  <c r="K20"/>
  <c r="J20"/>
  <c r="G20"/>
  <c r="D20"/>
  <c r="Q19"/>
  <c r="P19"/>
  <c r="O19"/>
  <c r="O22" s="1"/>
  <c r="M19"/>
  <c r="L19"/>
  <c r="K19"/>
  <c r="J19"/>
  <c r="I19"/>
  <c r="G19"/>
  <c r="G22" s="1"/>
  <c r="F19"/>
  <c r="E19"/>
  <c r="D19"/>
  <c r="Q48"/>
  <c r="P48"/>
  <c r="O48"/>
  <c r="M48"/>
  <c r="L48"/>
  <c r="K48"/>
  <c r="J48"/>
  <c r="G48"/>
  <c r="D48"/>
  <c r="Q18"/>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E25"/>
  <c r="E55" s="1"/>
  <c r="C25"/>
  <c r="B14" i="48" s="1"/>
  <c r="P26" i="14"/>
  <c r="N26"/>
  <c r="L26"/>
  <c r="J26"/>
  <c r="Q22"/>
  <c r="M22"/>
  <c r="J22"/>
  <c r="R12"/>
  <c r="L78" l="1"/>
  <c r="L9" i="59"/>
  <c r="Q52" i="14"/>
  <c r="P28" i="48"/>
  <c r="Q11"/>
  <c r="O28"/>
  <c r="K22" i="14"/>
  <c r="D22"/>
  <c r="L22"/>
  <c r="K20" i="59"/>
  <c r="K78" i="14"/>
  <c r="K8" i="59"/>
  <c r="K10" s="1"/>
  <c r="E90" i="14"/>
  <c r="E18" i="59"/>
  <c r="E20" s="1"/>
  <c r="O10"/>
  <c r="N10"/>
  <c r="D14" i="48"/>
  <c r="L10" i="59"/>
  <c r="E10"/>
  <c r="N78" i="14"/>
  <c r="K90"/>
  <c r="L90"/>
  <c r="H90"/>
  <c r="L13" i="15"/>
  <c r="N13"/>
  <c r="F77" i="14"/>
  <c r="O78"/>
  <c r="N88"/>
  <c r="E78"/>
  <c r="H77"/>
  <c r="H9" i="59" s="1"/>
  <c r="H10" s="1"/>
  <c r="O88" i="14"/>
  <c r="G89"/>
  <c r="G78"/>
  <c r="O31" i="48"/>
  <c r="O27"/>
  <c r="O29"/>
  <c r="P31"/>
  <c r="Q14"/>
  <c r="O24"/>
  <c r="O30"/>
  <c r="P24"/>
  <c r="P30"/>
  <c r="R9" i="14"/>
  <c r="R25"/>
  <c r="B77" l="1"/>
  <c r="B9" i="59" s="1"/>
  <c r="F9"/>
  <c r="O90" i="14"/>
  <c r="O18" i="59"/>
  <c r="O20" s="1"/>
  <c r="C89" i="14"/>
  <c r="C19" i="59" s="1"/>
  <c r="G19"/>
  <c r="G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9"/>
  <c r="E24"/>
  <c r="E28"/>
  <c r="E30"/>
  <c r="L10" i="14"/>
  <c r="L16" s="1"/>
  <c r="L27" s="1"/>
  <c r="K5" i="48"/>
  <c r="D30"/>
  <c r="D29"/>
  <c r="D24"/>
  <c r="D31"/>
  <c r="D28"/>
  <c r="D32"/>
  <c r="K32"/>
  <c r="K28"/>
  <c r="K26"/>
  <c r="K24"/>
  <c r="K27"/>
  <c r="K30"/>
  <c r="K25"/>
  <c r="K22"/>
  <c r="K31"/>
  <c r="K29"/>
  <c r="C24" i="14"/>
  <c r="C26" s="1"/>
  <c r="B7" i="48"/>
  <c r="J32"/>
  <c r="J27"/>
  <c r="J31"/>
  <c r="J30"/>
  <c r="J28"/>
  <c r="J24"/>
  <c r="J29"/>
  <c r="P4"/>
  <c r="Q11" i="14"/>
  <c r="O4" i="48"/>
  <c r="P11" i="14"/>
  <c r="I29" i="48"/>
  <c r="I31"/>
  <c r="I26"/>
  <c r="I32"/>
  <c r="I24"/>
  <c r="I28"/>
  <c r="I30"/>
  <c r="I22"/>
  <c r="I25"/>
  <c r="I27"/>
  <c r="M26"/>
  <c r="M29"/>
  <c r="M25"/>
  <c r="M32"/>
  <c r="M24"/>
  <c r="M22"/>
  <c r="M30"/>
  <c r="M23"/>
  <c r="L28"/>
  <c r="L27"/>
  <c r="L29"/>
  <c r="L32"/>
  <c r="L22"/>
  <c r="L24"/>
  <c r="L30"/>
  <c r="L31"/>
  <c r="P5"/>
  <c r="P23" s="1"/>
  <c r="Q10" i="14"/>
  <c r="E11"/>
  <c r="D4" i="48"/>
  <c r="D22" s="1"/>
  <c r="H29"/>
  <c r="H26"/>
  <c r="H32"/>
  <c r="H28"/>
  <c r="H25"/>
  <c r="H22"/>
  <c r="H30"/>
  <c r="H24"/>
  <c r="H23"/>
  <c r="D11" i="14"/>
  <c r="C4" i="48"/>
  <c r="G32"/>
  <c r="G26"/>
  <c r="G29"/>
  <c r="G24"/>
  <c r="G25"/>
  <c r="G22"/>
  <c r="G30"/>
  <c r="G23"/>
  <c r="B4"/>
  <c r="C11" i="14"/>
  <c r="F32" i="48"/>
  <c r="F31"/>
  <c r="F30"/>
  <c r="F28"/>
  <c r="F29"/>
  <c r="F24"/>
  <c r="F27"/>
  <c r="N32"/>
  <c r="N27"/>
  <c r="N29"/>
  <c r="N31"/>
  <c r="N28"/>
  <c r="N24"/>
  <c r="N30"/>
  <c r="C19" i="14"/>
  <c r="B10" i="48"/>
  <c r="N46"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B9"/>
  <c r="C20" i="14"/>
  <c r="O5" i="48"/>
  <c r="O23" s="1"/>
  <c r="P10" i="14"/>
  <c r="H18"/>
  <c r="R18" s="1"/>
  <c r="G13" i="48"/>
  <c r="I18" i="14"/>
  <c r="H13" i="48"/>
  <c r="H31" s="1"/>
  <c r="P22"/>
  <c r="E9"/>
  <c r="F20" i="14"/>
  <c r="F22" s="1"/>
  <c r="P22" i="16"/>
  <c r="Q43" i="14" s="1"/>
  <c r="P8" i="48"/>
  <c r="P26" s="1"/>
  <c r="Q13" i="14"/>
  <c r="Q16" s="1"/>
  <c r="Q27" s="1"/>
  <c r="D9" i="48"/>
  <c r="D27" s="1"/>
  <c r="E20" i="14"/>
  <c r="E22" s="1"/>
  <c r="G11"/>
  <c r="F4" i="48"/>
  <c r="F22" s="1"/>
  <c r="K24" i="14"/>
  <c r="K26" s="1"/>
  <c r="J7" i="48"/>
  <c r="J25" s="1"/>
  <c r="J10" i="14"/>
  <c r="J16" s="1"/>
  <c r="J27" s="1"/>
  <c r="I5" i="48"/>
  <c r="C22" i="14"/>
  <c r="M12" i="22"/>
  <c r="N18" i="14"/>
  <c r="M13" i="48"/>
  <c r="M31" s="1"/>
  <c r="K15"/>
  <c r="K23"/>
  <c r="K33" s="1"/>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Q63"/>
  <c r="K11"/>
  <c r="J4" i="48"/>
  <c r="M9"/>
  <c r="N20" i="14"/>
  <c r="Q13" i="48"/>
  <c r="G31"/>
  <c r="I23"/>
  <c r="I33" s="1"/>
  <c r="I15"/>
  <c r="M10"/>
  <c r="M28" s="1"/>
  <c r="N19" i="14"/>
  <c r="N22" s="1"/>
  <c r="N27" s="1"/>
  <c r="F24"/>
  <c r="F26" s="1"/>
  <c r="E7" i="48"/>
  <c r="E25" s="1"/>
  <c r="P33"/>
  <c r="H20" i="14"/>
  <c r="G9" i="48"/>
  <c r="P13" i="14"/>
  <c r="P16" s="1"/>
  <c r="P27" s="1"/>
  <c r="O8" i="48"/>
  <c r="H19" i="14"/>
  <c r="G10" i="48"/>
  <c r="E27"/>
  <c r="P46" i="14"/>
  <c r="P61" s="1"/>
  <c r="P15" i="48"/>
  <c r="Q46" i="14"/>
  <c r="Q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J20" s="1"/>
  <c r="K40" i="14"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M46" s="1"/>
  <c r="N63" l="1"/>
  <c r="G27" i="48"/>
  <c r="G15"/>
  <c r="J22"/>
  <c r="M27"/>
  <c r="M33" s="1"/>
  <c r="M15"/>
  <c r="E22"/>
  <c r="Q4"/>
  <c r="I20" i="14"/>
  <c r="H9" i="48"/>
  <c r="E20" i="15"/>
  <c r="F40" i="14" s="1"/>
  <c r="E5" i="48"/>
  <c r="E23" s="1"/>
  <c r="F10" i="14"/>
  <c r="G28" i="48"/>
  <c r="Q10"/>
  <c r="P63" i="14"/>
  <c r="R19"/>
  <c r="O26" i="48"/>
  <c r="O33" s="1"/>
  <c r="O15"/>
  <c r="K10" i="14"/>
  <c r="J5" i="48"/>
  <c r="J23" s="1"/>
  <c r="E61" i="14"/>
  <c r="Q9" i="48"/>
  <c r="H22" i="14"/>
  <c r="H27" s="1"/>
  <c r="H63" s="1"/>
  <c r="M61"/>
  <c r="M27"/>
  <c r="E16"/>
  <c r="E27" s="1"/>
  <c r="L15" i="48"/>
  <c r="R24" i="14"/>
  <c r="R26" s="1"/>
  <c r="L33" i="48"/>
  <c r="Q7"/>
  <c r="R10" i="14"/>
  <c r="D23" i="48"/>
  <c r="D33" s="1"/>
  <c r="D15"/>
  <c r="C16" i="14"/>
  <c r="C27" s="1"/>
  <c r="B3" i="6" s="1"/>
  <c r="B12" s="1"/>
  <c r="F23" i="48"/>
  <c r="N23"/>
  <c r="Q5"/>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R20"/>
  <c r="I22"/>
  <c r="I27" s="1"/>
  <c r="I63" s="1"/>
  <c r="H27" i="48"/>
  <c r="H33" s="1"/>
  <c r="H15"/>
  <c r="G33"/>
  <c r="R22" i="14"/>
  <c r="J22" i="16"/>
  <c r="K43" i="14" s="1"/>
  <c r="K46" s="1"/>
  <c r="K61" s="1"/>
  <c r="K13"/>
  <c r="J8" i="48"/>
  <c r="E63" i="14"/>
  <c r="K16"/>
  <c r="K27" s="1"/>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<sst xmlns="http://schemas.openxmlformats.org/spreadsheetml/2006/main" count="2459" uniqueCount="928">
  <si>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</si>
  <si>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</si>
  <si>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</si>
  <si>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</si>
  <si>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</si>
  <si>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</si>
  <si>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</si>
  <si>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</si>
  <si>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</si>
  <si>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</si>
  <si>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</si>
  <si>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</si>
  <si>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</si>
  <si>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</si>
  <si>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</si>
  <si>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</si>
  <si>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</si>
  <si>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</si>
  <si>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</si>
  <si>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</si>
  <si>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</si>
  <si>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</si>
  <si>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</si>
  <si>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</si>
  <si>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</si>
  <si>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</si>
  <si>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</si>
  <si>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</si>
  <si>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</si>
  <si>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</si>
  <si>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</si>
  <si>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</si>
  <si>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</si>
  <si>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</si>
  <si>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</si>
  <si>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</si>
  <si>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</si>
  <si>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</si>
  <si>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</si>
  <si>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</si>
  <si>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</si>
  <si>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</si>
  <si>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</si>
  <si>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</si>
  <si>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</si>
  <si>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</si>
  <si>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</si>
  <si>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</si>
  <si>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</si>
  <si>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</si>
  <si>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</si>
  <si>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</si>
  <si>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</si>
  <si>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</si>
  <si>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</si>
  <si>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</si>
  <si>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</si>
  <si>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</si>
  <si>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</si>
  <si>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</si>
  <si>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</si>
  <si>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</si>
  <si>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</si>
  <si>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</si>
  <si>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</si>
  <si>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</si>
  <si>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</si>
  <si>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</si>
  <si>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</si>
  <si>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</si>
  <si>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</si>
  <si>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</si>
  <si>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</si>
  <si>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</si>
  <si>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</si>
  <si>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</si>
  <si>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</si>
  <si>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</si>
  <si>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</si>
  <si>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</si>
  <si>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</si>
  <si>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</si>
  <si>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</si>
  <si>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</si>
  <si>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</si>
  <si>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</si>
  <si>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</si>
  <si>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</si>
  <si>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</si>
  <si>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</si>
  <si>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</si>
  <si>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</si>
  <si>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</si>
  <si>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</si>
  <si>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</si>
  <si>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</si>
  <si>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</si>
  <si>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</si>
  <si>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</si>
  <si>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</si>
  <si>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</si>
  <si>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</si>
  <si>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</si>
  <si>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</si>
  <si>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</si>
  <si>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</si>
  <si>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</si>
  <si>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</si>
  <si>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</si>
  <si>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</si>
  <si>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</si>
  <si>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</si>
  <si>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</si>
  <si>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</si>
  <si>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</si>
  <si>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</si>
  <si>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</si>
  <si>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</si>
  <si>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</si>
  <si>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</si>
  <si>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</si>
  <si>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</si>
  <si>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</si>
  <si>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</si>
  <si>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</si>
  <si>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</si>
  <si>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</si>
  <si>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</si>
  <si>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</si>
  <si>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</si>
  <si>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</si>
  <si>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</si>
  <si>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</si>
  <si>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</si>
  <si>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</si>
  <si>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</si>
  <si>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</si>
  <si>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</si>
  <si>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</si>
  <si>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</si>
  <si>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</si>
  <si>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</si>
  <si>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</si>
  <si>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</si>
  <si>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</si>
  <si>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</si>
  <si>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</si>
  <si>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</si>
  <si>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</si>
  <si>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</si>
  <si>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</si>
  <si>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</si>
  <si>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</si>
  <si>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</si>
  <si>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</si>
  <si>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</si>
  <si>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</si>
  <si>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</si>
  <si>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</si>
  <si>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</si>
  <si>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</si>
  <si>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</si>
  <si>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</si>
  <si>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</si>
  <si>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</si>
  <si>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</si>
  <si>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</si>
  <si>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</si>
  <si>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</si>
  <si>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</si>
  <si>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</si>
  <si>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</si>
  <si>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</si>
  <si>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</si>
  <si>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</si>
  <si>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</si>
  <si>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</si>
  <si>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</si>
  <si>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</si>
  <si>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</si>
  <si>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</si>
  <si>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</si>
  <si>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</si>
  <si>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</si>
  <si>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</si>
  <si>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</si>
  <si>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</si>
  <si>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</si>
  <si>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</si>
  <si>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</si>
  <si>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</si>
  <si>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</si>
  <si>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</si>
  <si>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</si>
  <si>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</si>
  <si>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</si>
  <si>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</si>
  <si>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</si>
  <si>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</si>
  <si>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</si>
  <si>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</si>
  <si>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</si>
  <si>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</si>
  <si>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</si>
  <si>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</si>
  <si>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</si>
  <si>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</si>
  <si>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</si>
  <si>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</si>
  <si>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</si>
  <si>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</si>
  <si>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</si>
  <si>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</si>
  <si>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</si>
  <si>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</si>
  <si>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</si>
  <si>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</si>
  <si>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</si>
  <si>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</si>
  <si>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</si>
  <si>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</si>
  <si>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</si>
  <si>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</si>
  <si>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</si>
  <si>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</si>
  <si>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</si>
  <si>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</si>
  <si>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</si>
  <si>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</si>
  <si>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</si>
  <si>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</si>
  <si>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</si>
  <si>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</si>
  <si>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</si>
  <si>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</si>
  <si>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</si>
  <si>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</si>
  <si>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</si>
  <si>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</si>
  <si>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</si>
  <si>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</si>
  <si>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</si>
  <si>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</si>
  <si>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</si>
  <si>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</si>
  <si>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</si>
  <si>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</si>
  <si>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</si>
  <si>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</si>
  <si>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</si>
  <si>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</si>
  <si>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</si>
  <si>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</si>
  <si>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</si>
  <si>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</si>
  <si>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</si>
  <si>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</si>
  <si>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</si>
  <si>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</si>
  <si>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</si>
  <si>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</si>
  <si>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</si>
  <si>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</si>
  <si>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</si>
  <si>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</si>
  <si>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</si>
  <si>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</si>
  <si>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</si>
  <si>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</si>
  <si>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</si>
  <si>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</si>
  <si>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</si>
  <si>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</si>
  <si>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</si>
  <si>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</si>
  <si>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</si>
  <si>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</si>
  <si>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</si>
  <si>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</si>
  <si>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</si>
  <si>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</si>
  <si>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</si>
  <si>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</si>
  <si>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</si>
  <si>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</si>
  <si>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</si>
  <si>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</si>
  <si>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</si>
  <si>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</si>
  <si>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</si>
  <si>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</si>
  <si>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</si>
  <si>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</si>
  <si>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</si>
  <si>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</si>
  <si>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</si>
  <si>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</si>
  <si>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</si>
  <si>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</si>
  <si>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</si>
  <si>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</si>
  <si>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</si>
  <si>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</si>
  <si>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</si>
  <si>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</si>
  <si>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</si>
  <si>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</si>
  <si>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</si>
  <si>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</si>
  <si>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</si>
  <si>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</si>
  <si>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</si>
  <si>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</si>
  <si>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</si>
  <si>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</si>
  <si>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</si>
  <si>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</si>
  <si>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</si>
  <si>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</si>
  <si>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</si>
  <si>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</si>
  <si>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</si>
  <si>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</si>
  <si>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</si>
  <si>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</si>
  <si>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</si>
  <si>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</si>
  <si>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</si>
  <si>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</si>
  <si>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</si>
  <si>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</si>
  <si>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</si>
  <si>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</si>
  <si>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</si>
  <si>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</si>
  <si>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</si>
  <si>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</si>
  <si>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</si>
  <si>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</si>
  <si>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</si>
  <si>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</si>
  <si>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</si>
  <si>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</si>
  <si>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</si>
  <si>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</si>
  <si>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</si>
  <si>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</si>
  <si>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</si>
  <si>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</si>
  <si>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</si>
  <si>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</si>
  <si>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</si>
  <si>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</si>
  <si>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</si>
  <si>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</si>
  <si>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</si>
  <si>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</si>
  <si>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</si>
  <si>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</si>
  <si>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</si>
  <si>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</si>
  <si>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</si>
  <si>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</si>
  <si>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</si>
  <si>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</si>
  <si>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</si>
  <si>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</si>
  <si>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</si>
  <si>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</si>
  <si>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</si>
  <si>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</si>
  <si>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</si>
  <si>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</si>
  <si>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</si>
  <si>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</si>
  <si>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</si>
  <si>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</si>
  <si>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</si>
  <si>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</si>
  <si>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</si>
  <si>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</si>
  <si>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</si>
  <si>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</si>
  <si>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</si>
  <si>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</si>
  <si>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</si>
  <si>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</si>
  <si>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</si>
  <si>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</si>
  <si>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</si>
  <si>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</si>
  <si>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</si>
  <si>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</si>
  <si>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</si>
  <si>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</si>
  <si>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</si>
  <si>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</si>
  <si>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</si>
  <si>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</si>
  <si>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</si>
  <si>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</si>
  <si>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</si>
  <si>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</si>
  <si>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</si>
  <si>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</si>
  <si>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</si>
  <si>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</si>
  <si>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</si>
  <si>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</si>
  <si>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</si>
  <si>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</si>
  <si>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</si>
  <si>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</si>
  <si>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</si>
  <si>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</si>
  <si>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</si>
  <si>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</si>
  <si>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</si>
  <si>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</si>
  <si>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</si>
  <si>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</si>
  <si>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</si>
  <si>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</si>
  <si>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</si>
  <si>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</si>
  <si>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</si>
  <si>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</si>
  <si>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</si>
  <si>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</si>
  <si>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</si>
  <si>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</si>
  <si>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</si>
  <si>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</si>
  <si>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</si>
  <si>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</si>
  <si>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</si>
  <si>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</si>
  <si>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</si>
  <si>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</si>
  <si>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</si>
  <si>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</si>
  <si>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</si>
  <si>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</si>
  <si>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</si>
  <si>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</si>
  <si>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</si>
  <si>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</si>
  <si>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</si>
  <si>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</si>
  <si>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</si>
  <si>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</si>
  <si>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</si>
  <si>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</si>
  <si>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</si>
  <si>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</si>
  <si>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</si>
  <si>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</si>
  <si>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</si>
  <si>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</si>
  <si>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</si>
  <si>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</si>
  <si>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</si>
  <si>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</si>
  <si>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</si>
  <si>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</si>
  <si>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</si>
  <si>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</si>
  <si>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</si>
  <si>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</si>
  <si>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</si>
  <si>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</si>
  <si>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</si>
  <si>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</si>
  <si>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</si>
  <si>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</si>
  <si>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</si>
  <si>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</si>
  <si>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</si>
  <si>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</si>
  <si>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</si>
  <si>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</si>
  <si>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</si>
  <si>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</si>
  <si>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</si>
  <si>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</si>
  <si>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</si>
  <si>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</si>
  <si>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</si>
  <si>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</si>
  <si>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</si>
  <si>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</si>
  <si>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</si>
  <si>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</si>
  <si>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</si>
  <si>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</si>
  <si>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</si>
  <si>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</si>
  <si>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</si>
  <si>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</si>
  <si>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</si>
  <si>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</si>
  <si>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</si>
  <si>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</si>
  <si>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</si>
  <si>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</si>
  <si>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</si>
  <si>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</si>
  <si>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</si>
  <si>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</si>
  <si>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</si>
  <si>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</si>
  <si>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</si>
  <si>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</si>
  <si>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</si>
  <si>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</si>
  <si>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</si>
  <si>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</si>
  <si>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</si>
  <si>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</si>
  <si>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</si>
  <si>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</si>
  <si>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</si>
  <si>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</si>
  <si>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</si>
  <si>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</si>
  <si>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</si>
  <si>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</si>
  <si>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</si>
  <si>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</si>
  <si>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</si>
  <si>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</si>
  <si>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</si>
  <si>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</si>
  <si>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</si>
  <si>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</si>
  <si>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</si>
  <si>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</si>
  <si>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</si>
  <si>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</si>
  <si>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</si>
  <si>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</si>
  <si>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</si>
  <si>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</si>
  <si>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</si>
  <si>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</si>
  <si>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</si>
  <si>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</si>
  <si>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</si>
  <si>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</si>
  <si>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</si>
  <si>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</si>
  <si>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</si>
  <si>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</si>
  <si>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</si>
  <si>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</si>
  <si>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</si>
  <si>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</si>
  <si>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</si>
  <si>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</si>
  <si>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</si>
  <si>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</si>
  <si>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</si>
  <si>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</si>
  <si>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</si>
  <si>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</si>
  <si>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</si>
  <si>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</si>
  <si>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</si>
  <si>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</si>
  <si>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</si>
  <si>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</si>
  <si>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</si>
  <si>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</si>
  <si>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</si>
  <si>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</si>
  <si>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</si>
  <si>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</si>
  <si>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</si>
  <si>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</si>
  <si>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</si>
  <si>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</si>
  <si>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</si>
  <si>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</si>
  <si>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</si>
  <si>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</si>
  <si>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</si>
  <si>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</si>
  <si>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</si>
  <si>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</si>
  <si>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</si>
  <si>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</si>
  <si>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</si>
  <si>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</si>
  <si>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</si>
  <si>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</si>
  <si>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</si>
  <si>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</si>
  <si>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</si>
  <si>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</si>
  <si>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</si>
  <si>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</si>
  <si>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</si>
  <si>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</si>
  <si>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</si>
  <si>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</si>
  <si>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</si>
  <si>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</si>
  <si>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</si>
  <si>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</si>
  <si>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</si>
  <si>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</si>
  <si>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</si>
  <si>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</si>
  <si>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</si>
  <si>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</si>
  <si>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</si>
  <si>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</si>
  <si>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</si>
  <si>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</si>
  <si>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</si>
  <si>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</si>
  <si>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</si>
  <si>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</si>
  <si>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</si>
  <si>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</si>
  <si>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</si>
  <si>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</si>
  <si>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</si>
  <si>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</si>
  <si>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</si>
  <si>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</si>
  <si>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</si>
  <si>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</si>
  <si>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</si>
  <si>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</si>
  <si>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</si>
  <si>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</si>
  <si>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</si>
  <si>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</si>
  <si>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</si>
  <si>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</si>
  <si>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</si>
  <si>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</si>
  <si>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</si>
  <si>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</si>
  <si>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</si>
  <si>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</si>
  <si>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</si>
  <si>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</si>
  <si>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</si>
  <si>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</si>
  <si>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</si>
  <si>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</si>
  <si>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</si>
  <si>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</si>
  <si>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</si>
  <si>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</si>
  <si>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</si>
  <si>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</si>
  <si>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</si>
  <si>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</si>
  <si>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</si>
  <si>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</si>
  <si>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</si>
  <si>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</si>
  <si>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</si>
  <si>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</si>
  <si>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</si>
  <si>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</si>
  <si>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</si>
  <si>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</si>
  <si>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</si>
  <si>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</si>
  <si>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</si>
  <si>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</si>
  <si>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</si>
  <si>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</si>
  <si>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</si>
  <si>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</si>
  <si>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</si>
  <si>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</si>
  <si>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</si>
  <si>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</si>
  <si>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</si>
  <si>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</si>
  <si>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</si>
  <si>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</si>
  <si>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</si>
  <si>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</si>
  <si>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</si>
  <si>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</si>
  <si>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</si>
  <si>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</si>
  <si>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</si>
  <si>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</si>
  <si>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</si>
  <si>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</si>
  <si>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</si>
  <si>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</si>
  <si>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</si>
  <si>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</si>
  <si>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</si>
  <si>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</si>
  <si>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</si>
  <si>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</si>
  <si>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</si>
  <si>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</si>
  <si>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</si>
  <si>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</si>
  <si>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</si>
  <si>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</si>
  <si>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</si>
  <si>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</si>
  <si>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</si>
  <si>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</si>
  <si>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</si>
  <si>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</si>
  <si>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</si>
  <si>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</si>
  <si>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</si>
  <si>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</si>
  <si>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</si>
  <si>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</si>
  <si>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</si>
  <si>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</si>
  <si>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</si>
  <si>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</si>
  <si>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</si>
  <si>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</si>
  <si>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</si>
  <si>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</si>
  <si>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</si>
  <si>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</si>
  <si>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</si>
  <si>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</si>
  <si>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</si>
  <si>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</si>
  <si>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</si>
  <si>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</si>
  <si>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</si>
  <si>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</si>
  <si>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</si>
  <si>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</si>
  <si>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</si>
  <si>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</si>
  <si>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</si>
  <si>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</si>
  <si>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</si>
  <si>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</si>
  <si>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</si>
  <si>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</si>
  <si>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</si>
  <si>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</si>
  <si>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</si>
  <si>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</si>
  <si>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</si>
  <si>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</si>
  <si>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</si>
  <si>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</si>
  <si>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</si>
  <si>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</si>
  <si>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</si>
  <si>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</si>
  <si>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</si>
  <si>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</si>
  <si>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</si>
  <si>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</si>
  <si>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</si>
  <si>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</si>
  <si>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</si>
  <si>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</si>
  <si>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</si>
  <si>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</si>
  <si>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</si>
  <si>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</si>
  <si>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</si>
  <si>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</si>
  <si>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</si>
  <si>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</si>
  <si>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</si>
  <si>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</si>
  <si>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</si>
  <si>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</si>
  <si>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</si>
  <si>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</si>
  <si>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</si>
  <si>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</si>
  <si>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</si>
  <si>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</si>
  <si>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</si>
  <si>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</si>
  <si>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</si>
  <si>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</si>
  <si>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</si>
  <si>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</si>
  <si>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</si>
  <si>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</si>
  <si>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</si>
  <si>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</si>
  <si>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</si>
  <si>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</si>
  <si>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</si>
  <si>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</si>
  <si>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</si>
  <si>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</si>
  <si>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</si>
  <si>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</si>
  <si>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</si>
  <si>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</si>
  <si>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</si>
  <si>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</si>
  <si>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</si>
  <si>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</si>
  <si>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</si>
  <si>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</si>
  <si>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</si>
  <si>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</si>
  <si>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</si>
  <si>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</si>
  <si>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</si>
  <si>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</si>
  <si>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</si>
  <si>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</si>
  <si>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</si>
  <si>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</si>
  <si>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</si>
  <si>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</si>
  <si>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</si>
  <si>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</si>
  <si>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</si>
  <si>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</si>
  <si>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</si>
  <si>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</si>
  <si>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</si>
  <si>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</si>
  <si>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</si>
  <si>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</si>
  <si>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</si>
  <si>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</si>
  <si>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</si>
  <si>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</si>
  <si>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</si>
  <si>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</si>
  <si>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</si>
  <si>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</si>
  <si>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</si>
  <si>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</si>
  <si>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</si>
  <si>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</si>
  <si>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</si>
  <si>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</si>
  <si>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</si>
  <si>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</si>
  <si>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</si>
  <si>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</si>
  <si>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</si>
  <si>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</si>
  <si>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</si>
  <si>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</si>
  <si>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</si>
  <si>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</si>
  <si>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</si>
  <si>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</si>
  <si>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</si>
  <si>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</si>
  <si>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</si>
  <si>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</si>
  <si>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</si>
  <si>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</si>
  <si>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</si>
  <si>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</si>
  <si>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</si>
  <si>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</si>
  <si>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</si>
  <si>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</si>
  <si>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</si>
  <si>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</si>
  <si>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</si>
  <si>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</si>
  <si>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</si>
  <si>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</si>
  <si>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</si>
  <si>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</si>
  <si>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</si>
  <si>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</si>
  <si>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</si>
  <si>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</si>
  <si>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</si>
  <si>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</si>
  <si>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</si>
  <si>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</si>
  <si>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</si>
  <si>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</si>
  <si>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</si>
  <si>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</si>
  <si>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</si>
  <si>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</si>
  <si>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</si>
  <si>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</si>
  <si>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</si>
  <si>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</si>
  <si>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</si>
  <si>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</si>
  <si>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</si>
  <si>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</si>
  <si>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</si>
  <si>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35005</t>
  </si>
  <si>
    <t>GISTEL</t>
  </si>
  <si>
    <t>Cultuurgrond (ha)</t>
  </si>
  <si>
    <t>Paarden&amp;pony's 200 - 600 kg</t>
  </si>
  <si>
    <t>Paarden&amp;pony's &lt; 200 kg</t>
  </si>
  <si>
    <t>op basis van VEA (maart 2018) en Inventaris Hernieuwbare Energiebronnen (juni 2018)</t>
  </si>
  <si>
    <t>VEA (juni 2018)</t>
  </si>
  <si>
    <t>De Bazelaar GCV</t>
  </si>
  <si>
    <t>Zevekotestraat 107 , 8470 Zevekote</t>
  </si>
  <si>
    <t>WKK-0461 De Bazelaar</t>
  </si>
  <si>
    <t>interne verbrandingsmotor</t>
  </si>
  <si>
    <t>WKK interne verbrandinsgmotor (gas)</t>
  </si>
  <si>
    <t>Infrax West</t>
  </si>
  <si>
    <t>Ivaco cvba</t>
  </si>
  <si>
    <t>Muizeveld 7, 8470 Gistel</t>
  </si>
  <si>
    <t>WKK-0529 Ivaco</t>
  </si>
  <si>
    <t>Bazelaar 1 , 8470 Gistel</t>
  </si>
  <si>
    <t>A.K. Gistel bvba</t>
  </si>
  <si>
    <t>Nieuwpoortsesteenweg 195 B, 8470 Gistel</t>
  </si>
  <si>
    <t>BMS-0031 A.K. Gistel Plantenolie</t>
  </si>
  <si>
    <t>biomassa uit land- of bosbouw</t>
  </si>
  <si>
    <t>niet WKK interne verbrandingsmotor (vloeibaar)</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</si>
</sst>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95032.632210346128</c:v>
                </c:pt>
                <c:pt idx="1">
                  <c:v>27714.670363234749</c:v>
                </c:pt>
                <c:pt idx="2">
                  <c:v>1052.6400000000001</c:v>
                </c:pt>
                <c:pt idx="3">
                  <c:v>13358.702447648879</c:v>
                </c:pt>
                <c:pt idx="4">
                  <c:v>15600.303109900109</c:v>
                </c:pt>
                <c:pt idx="5">
                  <c:v>175646.10044744509</c:v>
                </c:pt>
                <c:pt idx="6">
                  <c:v>1436.5805687116047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95032.632210346128</c:v>
                </c:pt>
                <c:pt idx="1">
                  <c:v>27714.670363234749</c:v>
                </c:pt>
                <c:pt idx="2">
                  <c:v>1052.6400000000001</c:v>
                </c:pt>
                <c:pt idx="3">
                  <c:v>13358.702447648879</c:v>
                </c:pt>
                <c:pt idx="4">
                  <c:v>15600.303109900109</c:v>
                </c:pt>
                <c:pt idx="5">
                  <c:v>175646.10044744509</c:v>
                </c:pt>
                <c:pt idx="6">
                  <c:v>1436.5805687116047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12953.468683519544</c:v>
                </c:pt>
                <c:pt idx="2">
                  <c:v>3809.5484572811229</c:v>
                </c:pt>
                <c:pt idx="3">
                  <c:v>64.511677073654127</c:v>
                </c:pt>
                <c:pt idx="4">
                  <c:v>2960.292937020738</c:v>
                </c:pt>
                <c:pt idx="5">
                  <c:v>2352.2055882562399</c:v>
                </c:pt>
                <c:pt idx="6">
                  <c:v>44507.174481411486</c:v>
                </c:pt>
                <c:pt idx="7">
                  <c:v>367.23516579652045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12953.468683519544</c:v>
                </c:pt>
                <c:pt idx="2">
                  <c:v>3809.5484572811229</c:v>
                </c:pt>
                <c:pt idx="3">
                  <c:v>64.511677073654127</c:v>
                </c:pt>
                <c:pt idx="4">
                  <c:v>2960.292937020738</c:v>
                </c:pt>
                <c:pt idx="5">
                  <c:v>2352.2055882562399</c:v>
                </c:pt>
                <c:pt idx="6">
                  <c:v>44507.174481411486</c:v>
                </c:pt>
                <c:pt idx="7">
                  <c:v>367.23516579652045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35005</v>
      </c>
      <c r="B6" s="398"/>
      <c r="C6" s="399"/>
    </row>
    <row r="7" spans="1:7" s="396" customFormat="1" ht="15.75" customHeight="1">
      <c r="A7" s="400" t="str">
        <f>txtMunicipality</f>
        <v>GISTEL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6.128560293514794E-2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6.128560293514794E-2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35005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4858</v>
      </c>
      <c r="C9" s="338">
        <v>5156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3154</v>
      </c>
    </row>
    <row r="15" spans="1:6">
      <c r="A15" s="1295" t="s">
        <v>184</v>
      </c>
      <c r="B15" s="335">
        <v>38</v>
      </c>
    </row>
    <row r="16" spans="1:6">
      <c r="A16" s="1295" t="s">
        <v>6</v>
      </c>
      <c r="B16" s="335">
        <v>1560</v>
      </c>
    </row>
    <row r="17" spans="1:6">
      <c r="A17" s="1295" t="s">
        <v>7</v>
      </c>
      <c r="B17" s="335">
        <v>724</v>
      </c>
    </row>
    <row r="18" spans="1:6">
      <c r="A18" s="1295" t="s">
        <v>8</v>
      </c>
      <c r="B18" s="335">
        <v>1449</v>
      </c>
    </row>
    <row r="19" spans="1:6">
      <c r="A19" s="1295" t="s">
        <v>9</v>
      </c>
      <c r="B19" s="335">
        <v>1357</v>
      </c>
    </row>
    <row r="20" spans="1:6">
      <c r="A20" s="1295" t="s">
        <v>10</v>
      </c>
      <c r="B20" s="335">
        <v>971</v>
      </c>
    </row>
    <row r="21" spans="1:6">
      <c r="A21" s="1295" t="s">
        <v>11</v>
      </c>
      <c r="B21" s="335">
        <v>8748</v>
      </c>
    </row>
    <row r="22" spans="1:6">
      <c r="A22" s="1295" t="s">
        <v>12</v>
      </c>
      <c r="B22" s="335">
        <v>18215</v>
      </c>
    </row>
    <row r="23" spans="1:6">
      <c r="A23" s="1295" t="s">
        <v>13</v>
      </c>
      <c r="B23" s="335">
        <v>179</v>
      </c>
    </row>
    <row r="24" spans="1:6">
      <c r="A24" s="1295" t="s">
        <v>14</v>
      </c>
      <c r="B24" s="335">
        <v>8</v>
      </c>
    </row>
    <row r="25" spans="1:6">
      <c r="A25" s="1295" t="s">
        <v>15</v>
      </c>
      <c r="B25" s="335">
        <v>1574</v>
      </c>
    </row>
    <row r="26" spans="1:6">
      <c r="A26" s="1295" t="s">
        <v>16</v>
      </c>
      <c r="B26" s="335">
        <v>230</v>
      </c>
    </row>
    <row r="27" spans="1:6">
      <c r="A27" s="1295" t="s">
        <v>17</v>
      </c>
      <c r="B27" s="335">
        <v>0</v>
      </c>
    </row>
    <row r="28" spans="1:6" s="341" customFormat="1">
      <c r="A28" s="1296" t="s">
        <v>18</v>
      </c>
      <c r="B28" s="1296">
        <v>70340</v>
      </c>
    </row>
    <row r="29" spans="1:6">
      <c r="A29" s="1296" t="s">
        <v>909</v>
      </c>
      <c r="B29" s="1296">
        <v>37</v>
      </c>
      <c r="C29" s="341"/>
      <c r="D29" s="341"/>
      <c r="E29" s="341"/>
      <c r="F29" s="341"/>
    </row>
    <row r="30" spans="1:6">
      <c r="A30" s="1291" t="s">
        <v>910</v>
      </c>
      <c r="B30" s="1291">
        <v>13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8</v>
      </c>
      <c r="F36" s="335">
        <v>100088</v>
      </c>
    </row>
    <row r="37" spans="1:6">
      <c r="A37" s="1295" t="s">
        <v>25</v>
      </c>
      <c r="B37" s="1295" t="s">
        <v>28</v>
      </c>
      <c r="C37" s="335">
        <v>0</v>
      </c>
      <c r="D37" s="335">
        <v>0</v>
      </c>
      <c r="E37" s="335">
        <v>0</v>
      </c>
      <c r="F37" s="335">
        <v>0</v>
      </c>
    </row>
    <row r="38" spans="1:6">
      <c r="A38" s="1295" t="s">
        <v>25</v>
      </c>
      <c r="B38" s="1295" t="s">
        <v>29</v>
      </c>
      <c r="C38" s="335">
        <v>1</v>
      </c>
      <c r="D38" s="335">
        <v>791416</v>
      </c>
      <c r="E38" s="335">
        <v>1</v>
      </c>
      <c r="F38" s="335">
        <v>55037</v>
      </c>
    </row>
    <row r="39" spans="1:6">
      <c r="A39" s="1295" t="s">
        <v>30</v>
      </c>
      <c r="B39" s="1295" t="s">
        <v>31</v>
      </c>
      <c r="C39" s="335">
        <v>3483</v>
      </c>
      <c r="D39" s="335">
        <v>57884946</v>
      </c>
      <c r="E39" s="335">
        <v>4775</v>
      </c>
      <c r="F39" s="335">
        <v>19537364</v>
      </c>
    </row>
    <row r="40" spans="1:6">
      <c r="A40" s="1295" t="s">
        <v>30</v>
      </c>
      <c r="B40" s="1295" t="s">
        <v>29</v>
      </c>
      <c r="C40" s="335">
        <v>0</v>
      </c>
      <c r="D40" s="335">
        <v>0</v>
      </c>
      <c r="E40" s="335">
        <v>0</v>
      </c>
      <c r="F40" s="335">
        <v>0</v>
      </c>
    </row>
    <row r="41" spans="1:6">
      <c r="A41" s="1295" t="s">
        <v>32</v>
      </c>
      <c r="B41" s="1295" t="s">
        <v>33</v>
      </c>
      <c r="C41" s="335">
        <v>32</v>
      </c>
      <c r="D41" s="335">
        <v>4509371</v>
      </c>
      <c r="E41" s="335">
        <v>111</v>
      </c>
      <c r="F41" s="335">
        <v>2535915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5</v>
      </c>
      <c r="D44" s="335">
        <v>575514</v>
      </c>
      <c r="E44" s="335">
        <v>13</v>
      </c>
      <c r="F44" s="335">
        <v>447468</v>
      </c>
    </row>
    <row r="45" spans="1:6">
      <c r="A45" s="1295" t="s">
        <v>32</v>
      </c>
      <c r="B45" s="1295" t="s">
        <v>37</v>
      </c>
      <c r="C45" s="335">
        <v>5</v>
      </c>
      <c r="D45" s="335">
        <v>616396</v>
      </c>
      <c r="E45" s="335">
        <v>6</v>
      </c>
      <c r="F45" s="335">
        <v>764401</v>
      </c>
    </row>
    <row r="46" spans="1:6">
      <c r="A46" s="1295" t="s">
        <v>32</v>
      </c>
      <c r="B46" s="1295" t="s">
        <v>38</v>
      </c>
      <c r="C46" s="335">
        <v>0</v>
      </c>
      <c r="D46" s="335">
        <v>0</v>
      </c>
      <c r="E46" s="335">
        <v>0</v>
      </c>
      <c r="F46" s="335">
        <v>0</v>
      </c>
    </row>
    <row r="47" spans="1:6">
      <c r="A47" s="1295" t="s">
        <v>32</v>
      </c>
      <c r="B47" s="1295" t="s">
        <v>39</v>
      </c>
      <c r="C47" s="335">
        <v>5</v>
      </c>
      <c r="D47" s="335">
        <v>268588</v>
      </c>
      <c r="E47" s="335">
        <v>6</v>
      </c>
      <c r="F47" s="335">
        <v>232906</v>
      </c>
    </row>
    <row r="48" spans="1:6">
      <c r="A48" s="1295" t="s">
        <v>32</v>
      </c>
      <c r="B48" s="1295" t="s">
        <v>29</v>
      </c>
      <c r="C48" s="335">
        <v>0</v>
      </c>
      <c r="D48" s="335">
        <v>0</v>
      </c>
      <c r="E48" s="335">
        <v>2</v>
      </c>
      <c r="F48" s="335">
        <v>565585</v>
      </c>
    </row>
    <row r="49" spans="1:6">
      <c r="A49" s="1295" t="s">
        <v>32</v>
      </c>
      <c r="B49" s="1295" t="s">
        <v>40</v>
      </c>
      <c r="C49" s="335">
        <v>0</v>
      </c>
      <c r="D49" s="335">
        <v>0</v>
      </c>
      <c r="E49" s="335">
        <v>0</v>
      </c>
      <c r="F49" s="335">
        <v>0</v>
      </c>
    </row>
    <row r="50" spans="1:6">
      <c r="A50" s="1295" t="s">
        <v>32</v>
      </c>
      <c r="B50" s="1295" t="s">
        <v>41</v>
      </c>
      <c r="C50" s="335">
        <v>9</v>
      </c>
      <c r="D50" s="335">
        <v>368447</v>
      </c>
      <c r="E50" s="335">
        <v>13</v>
      </c>
      <c r="F50" s="335">
        <v>314165</v>
      </c>
    </row>
    <row r="51" spans="1:6">
      <c r="A51" s="1295" t="s">
        <v>42</v>
      </c>
      <c r="B51" s="1295" t="s">
        <v>43</v>
      </c>
      <c r="C51" s="335">
        <v>9</v>
      </c>
      <c r="D51" s="335">
        <v>1645900</v>
      </c>
      <c r="E51" s="335">
        <v>79</v>
      </c>
      <c r="F51" s="335">
        <v>2561527</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53</v>
      </c>
      <c r="F54" s="335">
        <v>1052640</v>
      </c>
    </row>
    <row r="55" spans="1:6">
      <c r="A55" s="1295" t="s">
        <v>46</v>
      </c>
      <c r="B55" s="1295" t="s">
        <v>29</v>
      </c>
      <c r="C55" s="335">
        <v>0</v>
      </c>
      <c r="D55" s="335">
        <v>0</v>
      </c>
      <c r="E55" s="335">
        <v>0</v>
      </c>
      <c r="F55" s="335">
        <v>0</v>
      </c>
    </row>
    <row r="56" spans="1:6">
      <c r="A56" s="1295" t="s">
        <v>48</v>
      </c>
      <c r="B56" s="1295" t="s">
        <v>29</v>
      </c>
      <c r="C56" s="335">
        <v>77</v>
      </c>
      <c r="D56" s="335">
        <v>3027255</v>
      </c>
      <c r="E56" s="335">
        <v>96</v>
      </c>
      <c r="F56" s="335">
        <v>561137</v>
      </c>
    </row>
    <row r="57" spans="1:6">
      <c r="A57" s="1295" t="s">
        <v>49</v>
      </c>
      <c r="B57" s="1295" t="s">
        <v>50</v>
      </c>
      <c r="C57" s="335">
        <v>37</v>
      </c>
      <c r="D57" s="335">
        <v>2885213</v>
      </c>
      <c r="E57" s="335">
        <v>72</v>
      </c>
      <c r="F57" s="335">
        <v>2799574</v>
      </c>
    </row>
    <row r="58" spans="1:6">
      <c r="A58" s="1295" t="s">
        <v>49</v>
      </c>
      <c r="B58" s="1295" t="s">
        <v>51</v>
      </c>
      <c r="C58" s="335">
        <v>12</v>
      </c>
      <c r="D58" s="335">
        <v>1995029</v>
      </c>
      <c r="E58" s="335">
        <v>19</v>
      </c>
      <c r="F58" s="335">
        <v>543112</v>
      </c>
    </row>
    <row r="59" spans="1:6">
      <c r="A59" s="1295" t="s">
        <v>49</v>
      </c>
      <c r="B59" s="1295" t="s">
        <v>52</v>
      </c>
      <c r="C59" s="335">
        <v>69</v>
      </c>
      <c r="D59" s="335">
        <v>2983842</v>
      </c>
      <c r="E59" s="335">
        <v>194</v>
      </c>
      <c r="F59" s="335">
        <v>4795250</v>
      </c>
    </row>
    <row r="60" spans="1:6">
      <c r="A60" s="1295" t="s">
        <v>49</v>
      </c>
      <c r="B60" s="1295" t="s">
        <v>53</v>
      </c>
      <c r="C60" s="335">
        <v>22</v>
      </c>
      <c r="D60" s="335">
        <v>1106055</v>
      </c>
      <c r="E60" s="335">
        <v>42</v>
      </c>
      <c r="F60" s="335">
        <v>701829</v>
      </c>
    </row>
    <row r="61" spans="1:6">
      <c r="A61" s="1295" t="s">
        <v>49</v>
      </c>
      <c r="B61" s="1295" t="s">
        <v>54</v>
      </c>
      <c r="C61" s="335">
        <v>89</v>
      </c>
      <c r="D61" s="335">
        <v>3608920</v>
      </c>
      <c r="E61" s="335">
        <v>225</v>
      </c>
      <c r="F61" s="335">
        <v>2280654</v>
      </c>
    </row>
    <row r="62" spans="1:6">
      <c r="A62" s="1295" t="s">
        <v>49</v>
      </c>
      <c r="B62" s="1295" t="s">
        <v>55</v>
      </c>
      <c r="C62" s="335">
        <v>5</v>
      </c>
      <c r="D62" s="335">
        <v>517972</v>
      </c>
      <c r="E62" s="335">
        <v>10</v>
      </c>
      <c r="F62" s="335">
        <v>416201</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113641</v>
      </c>
      <c r="E68" s="335">
        <v>13</v>
      </c>
      <c r="F68" s="335">
        <v>141333</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47506148</v>
      </c>
      <c r="E73" s="335">
        <v>41407394.141307347</v>
      </c>
    </row>
    <row r="74" spans="1:6">
      <c r="A74" s="1295" t="s">
        <v>64</v>
      </c>
      <c r="B74" s="1295" t="s">
        <v>727</v>
      </c>
      <c r="C74" s="1295" t="s">
        <v>728</v>
      </c>
      <c r="D74" s="335">
        <v>5272408.2723992141</v>
      </c>
      <c r="E74" s="335">
        <v>4800868.1938447123</v>
      </c>
    </row>
    <row r="75" spans="1:6">
      <c r="A75" s="1295" t="s">
        <v>65</v>
      </c>
      <c r="B75" s="1295" t="s">
        <v>725</v>
      </c>
      <c r="C75" s="1295" t="s">
        <v>729</v>
      </c>
      <c r="D75" s="335">
        <v>8934039</v>
      </c>
      <c r="E75" s="335">
        <v>7855341.371868005</v>
      </c>
    </row>
    <row r="76" spans="1:6">
      <c r="A76" s="1295" t="s">
        <v>65</v>
      </c>
      <c r="B76" s="1295" t="s">
        <v>727</v>
      </c>
      <c r="C76" s="1295" t="s">
        <v>730</v>
      </c>
      <c r="D76" s="335">
        <v>699980.27239921421</v>
      </c>
      <c r="E76" s="335">
        <v>615629.16735088651</v>
      </c>
    </row>
    <row r="77" spans="1:6">
      <c r="A77" s="1295" t="s">
        <v>66</v>
      </c>
      <c r="B77" s="1295" t="s">
        <v>725</v>
      </c>
      <c r="C77" s="1295" t="s">
        <v>731</v>
      </c>
      <c r="D77" s="335">
        <v>93877096</v>
      </c>
      <c r="E77" s="335">
        <v>113966807.54507591</v>
      </c>
    </row>
    <row r="78" spans="1:6">
      <c r="A78" s="1291" t="s">
        <v>66</v>
      </c>
      <c r="B78" s="1291" t="s">
        <v>727</v>
      </c>
      <c r="C78" s="1291" t="s">
        <v>732</v>
      </c>
      <c r="D78" s="1291">
        <v>22753157</v>
      </c>
      <c r="E78" s="1291">
        <v>27296883.599749487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379527.45520157163</v>
      </c>
      <c r="C83" s="335">
        <v>381791.72117529763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25394.132829999999</v>
      </c>
    </row>
    <row r="91" spans="1:6">
      <c r="A91" s="1295" t="s">
        <v>68</v>
      </c>
      <c r="B91" s="335">
        <v>2337.1329999999998</v>
      </c>
    </row>
    <row r="92" spans="1:6">
      <c r="A92" s="1291" t="s">
        <v>69</v>
      </c>
      <c r="B92" s="338">
        <v>2367.2489999999998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2525</v>
      </c>
    </row>
    <row r="98" spans="1:6">
      <c r="A98" s="1295" t="s">
        <v>72</v>
      </c>
      <c r="B98" s="335">
        <v>2</v>
      </c>
    </row>
    <row r="99" spans="1:6">
      <c r="A99" s="1295" t="s">
        <v>73</v>
      </c>
      <c r="B99" s="335">
        <v>56</v>
      </c>
    </row>
    <row r="100" spans="1:6">
      <c r="A100" s="1295" t="s">
        <v>74</v>
      </c>
      <c r="B100" s="335">
        <v>449</v>
      </c>
    </row>
    <row r="101" spans="1:6">
      <c r="A101" s="1295" t="s">
        <v>75</v>
      </c>
      <c r="B101" s="335">
        <v>96</v>
      </c>
    </row>
    <row r="102" spans="1:6">
      <c r="A102" s="1295" t="s">
        <v>76</v>
      </c>
      <c r="B102" s="335">
        <v>58</v>
      </c>
    </row>
    <row r="103" spans="1:6">
      <c r="A103" s="1295" t="s">
        <v>77</v>
      </c>
      <c r="B103" s="335">
        <v>129</v>
      </c>
    </row>
    <row r="104" spans="1:6">
      <c r="A104" s="1295" t="s">
        <v>78</v>
      </c>
      <c r="B104" s="335">
        <v>902</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4</v>
      </c>
      <c r="C123" s="335">
        <v>10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124</v>
      </c>
    </row>
    <row r="130" spans="1:6">
      <c r="A130" s="1295" t="s">
        <v>295</v>
      </c>
      <c r="B130" s="335">
        <v>1</v>
      </c>
    </row>
    <row r="131" spans="1:6">
      <c r="A131" s="1295" t="s">
        <v>296</v>
      </c>
      <c r="B131" s="335">
        <v>0</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42953.818916802826</v>
      </c>
      <c r="C3" s="43" t="s">
        <v>170</v>
      </c>
      <c r="D3" s="43"/>
      <c r="E3" s="156"/>
      <c r="F3" s="43"/>
      <c r="G3" s="43"/>
      <c r="H3" s="43"/>
      <c r="I3" s="43"/>
      <c r="J3" s="43"/>
      <c r="K3" s="96"/>
    </row>
    <row r="4" spans="1:11">
      <c r="A4" s="366" t="s">
        <v>171</v>
      </c>
      <c r="B4" s="49">
        <f>IF(ISERROR('SEAP template'!B78+'SEAP template'!C78),0,'SEAP template'!B78+'SEAP template'!C78)</f>
        <v>31042.277330000001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6.128560293514794E-2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769.66071428571422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1052.6400000000001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1052.6400000000001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6.128560293514794E-2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64.511677073654127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19537.364000000001</v>
      </c>
      <c r="C5" s="17">
        <f>IF(ISERROR('Eigen informatie GS &amp; warmtenet'!B57),0,'Eigen informatie GS &amp; warmtenet'!B57)</f>
        <v>0</v>
      </c>
      <c r="D5" s="30">
        <f>(SUM(HH_hh_gas_kWh,HH_rest_gas_kWh)/1000)*0.902</f>
        <v>52212.221292000002</v>
      </c>
      <c r="E5" s="17">
        <f>B46*B57</f>
        <v>2589.7277816216788</v>
      </c>
      <c r="F5" s="17">
        <f>B51*B62</f>
        <v>0</v>
      </c>
      <c r="G5" s="18"/>
      <c r="H5" s="17"/>
      <c r="I5" s="17"/>
      <c r="J5" s="17">
        <f>B50*B61+C50*C61</f>
        <v>1350.6780750263792</v>
      </c>
      <c r="K5" s="17"/>
      <c r="L5" s="17"/>
      <c r="M5" s="17"/>
      <c r="N5" s="17">
        <f>B48*B59+C48*C59</f>
        <v>16643.488061698052</v>
      </c>
      <c r="O5" s="17">
        <f>B69*B70*B71</f>
        <v>209.48666666666671</v>
      </c>
      <c r="P5" s="17">
        <f>B77*B78*B79/1000-B77*B78*B79/1000/B80</f>
        <v>152.53333333333333</v>
      </c>
    </row>
    <row r="6" spans="1:16">
      <c r="A6" s="16" t="s">
        <v>634</v>
      </c>
      <c r="B6" s="783">
        <f>kWh_PV_kleiner_dan_10kW</f>
        <v>2337.1329999999998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21874.497000000003</v>
      </c>
      <c r="C8" s="21">
        <f>C5</f>
        <v>0</v>
      </c>
      <c r="D8" s="21">
        <f>D5</f>
        <v>52212.221292000002</v>
      </c>
      <c r="E8" s="21">
        <f>E5</f>
        <v>2589.7277816216788</v>
      </c>
      <c r="F8" s="21">
        <f>F5</f>
        <v>0</v>
      </c>
      <c r="G8" s="21"/>
      <c r="H8" s="21"/>
      <c r="I8" s="21"/>
      <c r="J8" s="21">
        <f>J5</f>
        <v>1350.6780750263792</v>
      </c>
      <c r="K8" s="21"/>
      <c r="L8" s="21">
        <f>L5</f>
        <v>0</v>
      </c>
      <c r="M8" s="21">
        <f>M5</f>
        <v>0</v>
      </c>
      <c r="N8" s="21">
        <f>N5</f>
        <v>16643.488061698052</v>
      </c>
      <c r="O8" s="21">
        <f>O5</f>
        <v>209.48666666666671</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6.128560293514794E-2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1340.5917375480849</v>
      </c>
      <c r="C12" s="23">
        <f ca="1">C10*C8</f>
        <v>0</v>
      </c>
      <c r="D12" s="23">
        <f>D8*D10</f>
        <v>10546.868700984001</v>
      </c>
      <c r="E12" s="23">
        <f>E10*E8</f>
        <v>587.86820642812108</v>
      </c>
      <c r="F12" s="23">
        <f>F10*F8</f>
        <v>0</v>
      </c>
      <c r="G12" s="23"/>
      <c r="H12" s="23"/>
      <c r="I12" s="23"/>
      <c r="J12" s="23">
        <f>J10*J8</f>
        <v>478.14003855933822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2525</v>
      </c>
      <c r="C18" s="168" t="s">
        <v>111</v>
      </c>
      <c r="D18" s="230"/>
      <c r="E18" s="15"/>
    </row>
    <row r="19" spans="1:7">
      <c r="A19" s="173" t="s">
        <v>72</v>
      </c>
      <c r="B19" s="37">
        <f>aantalw2001_ander</f>
        <v>2</v>
      </c>
      <c r="C19" s="168" t="s">
        <v>111</v>
      </c>
      <c r="D19" s="231"/>
      <c r="E19" s="15"/>
    </row>
    <row r="20" spans="1:7">
      <c r="A20" s="173" t="s">
        <v>73</v>
      </c>
      <c r="B20" s="37">
        <f>aantalw2001_propaan</f>
        <v>56</v>
      </c>
      <c r="C20" s="169">
        <f>IF(ISERROR(B20/SUM($B$20,$B$21,$B$22)*100),0,B20/SUM($B$20,$B$21,$B$22)*100)</f>
        <v>9.3178036605657244</v>
      </c>
      <c r="D20" s="231"/>
      <c r="E20" s="15"/>
    </row>
    <row r="21" spans="1:7">
      <c r="A21" s="173" t="s">
        <v>74</v>
      </c>
      <c r="B21" s="37">
        <f>aantalw2001_elektriciteit</f>
        <v>449</v>
      </c>
      <c r="C21" s="169">
        <f>IF(ISERROR(B21/SUM($B$20,$B$21,$B$22)*100),0,B21/SUM($B$20,$B$21,$B$22)*100)</f>
        <v>74.708818635607315</v>
      </c>
      <c r="D21" s="231"/>
      <c r="E21" s="15"/>
    </row>
    <row r="22" spans="1:7">
      <c r="A22" s="173" t="s">
        <v>75</v>
      </c>
      <c r="B22" s="37">
        <f>aantalw2001_hout</f>
        <v>96</v>
      </c>
      <c r="C22" s="169">
        <f>IF(ISERROR(B22/SUM($B$20,$B$21,$B$22)*100),0,B22/SUM($B$20,$B$21,$B$22)*100)</f>
        <v>15.973377703826955</v>
      </c>
      <c r="D22" s="231"/>
      <c r="E22" s="15"/>
    </row>
    <row r="23" spans="1:7">
      <c r="A23" s="173" t="s">
        <v>76</v>
      </c>
      <c r="B23" s="37">
        <f>aantalw2001_niet_gespec</f>
        <v>58</v>
      </c>
      <c r="C23" s="168" t="s">
        <v>111</v>
      </c>
      <c r="D23" s="230"/>
      <c r="E23" s="15"/>
    </row>
    <row r="24" spans="1:7">
      <c r="A24" s="173" t="s">
        <v>77</v>
      </c>
      <c r="B24" s="37">
        <f>aantalw2001_steenkool</f>
        <v>129</v>
      </c>
      <c r="C24" s="168" t="s">
        <v>111</v>
      </c>
      <c r="D24" s="231"/>
      <c r="E24" s="15"/>
    </row>
    <row r="25" spans="1:7">
      <c r="A25" s="173" t="s">
        <v>78</v>
      </c>
      <c r="B25" s="37">
        <f>aantalw2001_stookolie</f>
        <v>902</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4858</v>
      </c>
      <c r="C28" s="36"/>
      <c r="D28" s="230"/>
    </row>
    <row r="29" spans="1:7" s="15" customFormat="1">
      <c r="A29" s="232" t="s">
        <v>746</v>
      </c>
      <c r="B29" s="37">
        <f>SUM(HH_hh_gas_aantal,HH_rest_gas_aantal)</f>
        <v>3483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3483</v>
      </c>
      <c r="C32" s="169">
        <f>IF(ISERROR(B32/SUM($B$32,$B$34,$B$35,$B$36,$B$38,$B$39)*100),0,B32/SUM($B$32,$B$34,$B$35,$B$36,$B$38,$B$39)*100)</f>
        <v>71.814432989690729</v>
      </c>
      <c r="D32" s="235"/>
      <c r="G32" s="15"/>
    </row>
    <row r="33" spans="1:7">
      <c r="A33" s="173" t="s">
        <v>72</v>
      </c>
      <c r="B33" s="34" t="s">
        <v>111</v>
      </c>
      <c r="C33" s="169"/>
      <c r="D33" s="235"/>
      <c r="G33" s="15"/>
    </row>
    <row r="34" spans="1:7">
      <c r="A34" s="173" t="s">
        <v>73</v>
      </c>
      <c r="B34" s="33">
        <f>IF((($B$28-$B$32-$B$39-$B$77-$B$38)*C20/100)&lt;0,0,($B$28-$B$32-$B$39-$B$77-$B$38)*C20/100)</f>
        <v>124.28086522462563</v>
      </c>
      <c r="C34" s="169">
        <f>IF(ISERROR(B34/SUM($B$32,$B$34,$B$35,$B$36,$B$38,$B$39)*100),0,B34/SUM($B$32,$B$34,$B$35,$B$36,$B$38,$B$39)*100)</f>
        <v>2.5624920664871267</v>
      </c>
      <c r="D34" s="235"/>
      <c r="G34" s="15"/>
    </row>
    <row r="35" spans="1:7">
      <c r="A35" s="173" t="s">
        <v>74</v>
      </c>
      <c r="B35" s="33">
        <f>IF((($B$28-$B$32-$B$39-$B$77-$B$38)*C21/100)&lt;0,0,($B$28-$B$32-$B$39-$B$77-$B$38)*C21/100)</f>
        <v>996.46622296173041</v>
      </c>
      <c r="C35" s="169">
        <f>IF(ISERROR(B35/SUM($B$32,$B$34,$B$35,$B$36,$B$38,$B$39)*100),0,B35/SUM($B$32,$B$34,$B$35,$B$36,$B$38,$B$39)*100)</f>
        <v>20.545695318798565</v>
      </c>
      <c r="D35" s="235"/>
      <c r="G35" s="15"/>
    </row>
    <row r="36" spans="1:7">
      <c r="A36" s="173" t="s">
        <v>75</v>
      </c>
      <c r="B36" s="33">
        <f>IF((($B$28-$B$32-$B$39-$B$77-$B$38)*C22/100)&lt;0,0,($B$28-$B$32-$B$39-$B$77-$B$38)*C22/100)</f>
        <v>213.0529118136439</v>
      </c>
      <c r="C36" s="169">
        <f>IF(ISERROR(B36/SUM($B$32,$B$34,$B$35,$B$36,$B$38,$B$39)*100),0,B36/SUM($B$32,$B$34,$B$35,$B$36,$B$38,$B$39)*100)</f>
        <v>4.3928435425493584</v>
      </c>
      <c r="D36" s="235"/>
      <c r="G36" s="15"/>
    </row>
    <row r="37" spans="1:7">
      <c r="A37" s="173" t="s">
        <v>76</v>
      </c>
      <c r="B37" s="34" t="s">
        <v>111</v>
      </c>
      <c r="C37" s="169"/>
      <c r="D37" s="175"/>
      <c r="G37" s="15"/>
    </row>
    <row r="38" spans="1:7">
      <c r="A38" s="173" t="s">
        <v>77</v>
      </c>
      <c r="B38" s="33">
        <f>IF((B24-(B29-B18)*0.1)&lt;0,0,B24-(B29-B18)*0.1)</f>
        <v>33.199999999999989</v>
      </c>
      <c r="C38" s="169">
        <f>IF(ISERROR(B38/SUM($B$32,$B$34,$B$35,$B$36,$B$38,$B$39)*100),0,B38/SUM($B$32,$B$34,$B$35,$B$36,$B$38,$B$39)*100)</f>
        <v>0.68453608247422659</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3483</v>
      </c>
      <c r="C44" s="34" t="s">
        <v>111</v>
      </c>
      <c r="D44" s="176"/>
    </row>
    <row r="45" spans="1:7">
      <c r="A45" s="173" t="s">
        <v>72</v>
      </c>
      <c r="B45" s="33" t="str">
        <f t="shared" si="0"/>
        <v>-</v>
      </c>
      <c r="C45" s="34" t="s">
        <v>111</v>
      </c>
      <c r="D45" s="176"/>
    </row>
    <row r="46" spans="1:7">
      <c r="A46" s="173" t="s">
        <v>73</v>
      </c>
      <c r="B46" s="33">
        <f t="shared" si="0"/>
        <v>124.28086522462563</v>
      </c>
      <c r="C46" s="34" t="s">
        <v>111</v>
      </c>
      <c r="D46" s="176"/>
    </row>
    <row r="47" spans="1:7">
      <c r="A47" s="173" t="s">
        <v>74</v>
      </c>
      <c r="B47" s="33">
        <f t="shared" si="0"/>
        <v>996.46622296173041</v>
      </c>
      <c r="C47" s="34" t="s">
        <v>111</v>
      </c>
      <c r="D47" s="176"/>
    </row>
    <row r="48" spans="1:7">
      <c r="A48" s="173" t="s">
        <v>75</v>
      </c>
      <c r="B48" s="33">
        <f t="shared" si="0"/>
        <v>213.0529118136439</v>
      </c>
      <c r="C48" s="33">
        <f>B48*10</f>
        <v>2130.5291181364391</v>
      </c>
      <c r="D48" s="236"/>
    </row>
    <row r="49" spans="1:6">
      <c r="A49" s="173" t="s">
        <v>76</v>
      </c>
      <c r="B49" s="33" t="str">
        <f t="shared" si="0"/>
        <v>-</v>
      </c>
      <c r="C49" s="34" t="s">
        <v>111</v>
      </c>
      <c r="D49" s="236"/>
    </row>
    <row r="50" spans="1:6">
      <c r="A50" s="173" t="s">
        <v>77</v>
      </c>
      <c r="B50" s="33">
        <f t="shared" si="0"/>
        <v>33.199999999999989</v>
      </c>
      <c r="C50" s="33">
        <f>B50*2</f>
        <v>66.399999999999977</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11536.619999999999</v>
      </c>
      <c r="C5" s="17">
        <f>IF(ISERROR('Eigen informatie GS &amp; warmtenet'!B58),0,'Eigen informatie GS &amp; warmtenet'!B58)</f>
        <v>0</v>
      </c>
      <c r="D5" s="30">
        <f>SUM(D6:D12)</f>
        <v>11813.521962000001</v>
      </c>
      <c r="E5" s="17">
        <f>SUM(E6:E12)</f>
        <v>131.35194053171261</v>
      </c>
      <c r="F5" s="17">
        <f>SUM(F6:F12)</f>
        <v>2456.1993387971261</v>
      </c>
      <c r="G5" s="18"/>
      <c r="H5" s="17"/>
      <c r="I5" s="17"/>
      <c r="J5" s="17">
        <f>SUM(J6:J12)</f>
        <v>0</v>
      </c>
      <c r="K5" s="17"/>
      <c r="L5" s="17"/>
      <c r="M5" s="17"/>
      <c r="N5" s="17">
        <f>SUM(N6:N12)</f>
        <v>1970.0971219059084</v>
      </c>
      <c r="O5" s="17">
        <f>B38*B39*B40</f>
        <v>1.5633333333333335</v>
      </c>
      <c r="P5" s="17">
        <f>B46*B47*B48/1000-B46*B47*B48/1000/B49</f>
        <v>19.066666666666666</v>
      </c>
      <c r="R5" s="32"/>
    </row>
    <row r="6" spans="1:18">
      <c r="A6" s="32" t="s">
        <v>54</v>
      </c>
      <c r="B6" s="37">
        <f>B26</f>
        <v>2280.654</v>
      </c>
      <c r="C6" s="33"/>
      <c r="D6" s="37">
        <f>IF(ISERROR(TER_kantoor_gas_kWh/1000),0,TER_kantoor_gas_kWh/1000)*0.902</f>
        <v>3255.24584</v>
      </c>
      <c r="E6" s="33">
        <f>$C$26*'E Balans VL '!I12/100/3.6*1000000</f>
        <v>8.8608236325845464</v>
      </c>
      <c r="F6" s="33">
        <f>$C$26*('E Balans VL '!L12+'E Balans VL '!N12)/100/3.6*1000000</f>
        <v>346.86672110311667</v>
      </c>
      <c r="G6" s="34"/>
      <c r="H6" s="33"/>
      <c r="I6" s="33"/>
      <c r="J6" s="33">
        <f>$C$26*('E Balans VL '!D12+'E Balans VL '!E12)/100/3.6*1000000</f>
        <v>0</v>
      </c>
      <c r="K6" s="33"/>
      <c r="L6" s="33"/>
      <c r="M6" s="33"/>
      <c r="N6" s="33">
        <f>$C$26*'E Balans VL '!Y12/100/3.6*1000000</f>
        <v>1.2569135696207345</v>
      </c>
      <c r="O6" s="33"/>
      <c r="P6" s="33"/>
      <c r="R6" s="32"/>
    </row>
    <row r="7" spans="1:18">
      <c r="A7" s="32" t="s">
        <v>53</v>
      </c>
      <c r="B7" s="37">
        <f t="shared" ref="B7:B12" si="0">B27</f>
        <v>701.82899999999995</v>
      </c>
      <c r="C7" s="33"/>
      <c r="D7" s="37">
        <f>IF(ISERROR(TER_horeca_gas_kWh/1000),0,TER_horeca_gas_kWh/1000)*0.902</f>
        <v>997.66161000000011</v>
      </c>
      <c r="E7" s="33">
        <f>$C$27*'E Balans VL '!I9/100/3.6*1000000</f>
        <v>39.534215207986271</v>
      </c>
      <c r="F7" s="33">
        <f>$C$27*('E Balans VL '!L9+'E Balans VL '!N9)/100/3.6*1000000</f>
        <v>202.36546595551806</v>
      </c>
      <c r="G7" s="34"/>
      <c r="H7" s="33"/>
      <c r="I7" s="33"/>
      <c r="J7" s="33">
        <f>$C$27*('E Balans VL '!D9+'E Balans VL '!E9)/100/3.6*1000000</f>
        <v>0</v>
      </c>
      <c r="K7" s="33"/>
      <c r="L7" s="33"/>
      <c r="M7" s="33"/>
      <c r="N7" s="33">
        <f>$C$27*'E Balans VL '!Y9/100/3.6*1000000</f>
        <v>0.19377133985337661</v>
      </c>
      <c r="O7" s="33"/>
      <c r="P7" s="33"/>
      <c r="R7" s="32"/>
    </row>
    <row r="8" spans="1:18">
      <c r="A8" s="6" t="s">
        <v>52</v>
      </c>
      <c r="B8" s="37">
        <f t="shared" si="0"/>
        <v>4795.25</v>
      </c>
      <c r="C8" s="33"/>
      <c r="D8" s="37">
        <f>IF(ISERROR(TER_handel_gas_kWh/1000),0,TER_handel_gas_kWh/1000)*0.902</f>
        <v>2691.4254840000003</v>
      </c>
      <c r="E8" s="33">
        <f>$C$28*'E Balans VL '!I13/100/3.6*1000000</f>
        <v>69.115821164913555</v>
      </c>
      <c r="F8" s="33">
        <f>$C$28*('E Balans VL '!L13+'E Balans VL '!N13)/100/3.6*1000000</f>
        <v>833.04659883687748</v>
      </c>
      <c r="G8" s="34"/>
      <c r="H8" s="33"/>
      <c r="I8" s="33"/>
      <c r="J8" s="33">
        <f>$C$28*('E Balans VL '!D13+'E Balans VL '!E13)/100/3.6*1000000</f>
        <v>0</v>
      </c>
      <c r="K8" s="33"/>
      <c r="L8" s="33"/>
      <c r="M8" s="33"/>
      <c r="N8" s="33">
        <f>$C$28*'E Balans VL '!Y13/100/3.6*1000000</f>
        <v>14.367102818226735</v>
      </c>
      <c r="O8" s="33"/>
      <c r="P8" s="33"/>
      <c r="R8" s="32"/>
    </row>
    <row r="9" spans="1:18">
      <c r="A9" s="32" t="s">
        <v>51</v>
      </c>
      <c r="B9" s="37">
        <f t="shared" si="0"/>
        <v>543.11199999999997</v>
      </c>
      <c r="C9" s="33"/>
      <c r="D9" s="37">
        <f>IF(ISERROR(TER_gezond_gas_kWh/1000),0,TER_gezond_gas_kWh/1000)*0.902</f>
        <v>1799.5161580000001</v>
      </c>
      <c r="E9" s="33">
        <f>$C$29*'E Balans VL '!I10/100/3.6*1000000</f>
        <v>0.58018438546080542</v>
      </c>
      <c r="F9" s="33">
        <f>$C$29*('E Balans VL '!L10+'E Balans VL '!N10)/100/3.6*1000000</f>
        <v>88.598072993063838</v>
      </c>
      <c r="G9" s="34"/>
      <c r="H9" s="33"/>
      <c r="I9" s="33"/>
      <c r="J9" s="33">
        <f>$C$29*('E Balans VL '!D10+'E Balans VL '!E10)/100/3.6*1000000</f>
        <v>0</v>
      </c>
      <c r="K9" s="33"/>
      <c r="L9" s="33"/>
      <c r="M9" s="33"/>
      <c r="N9" s="33">
        <f>$C$29*'E Balans VL '!Y10/100/3.6*1000000</f>
        <v>5.5910281464752707</v>
      </c>
      <c r="O9" s="33"/>
      <c r="P9" s="33"/>
      <c r="R9" s="32"/>
    </row>
    <row r="10" spans="1:18">
      <c r="A10" s="32" t="s">
        <v>50</v>
      </c>
      <c r="B10" s="37">
        <f t="shared" si="0"/>
        <v>2799.5740000000001</v>
      </c>
      <c r="C10" s="33"/>
      <c r="D10" s="37">
        <f>IF(ISERROR(TER_ander_gas_kWh/1000),0,TER_ander_gas_kWh/1000)*0.902</f>
        <v>2602.4621260000004</v>
      </c>
      <c r="E10" s="33">
        <f>$C$30*'E Balans VL '!I14/100/3.6*1000000</f>
        <v>12.874814979182442</v>
      </c>
      <c r="F10" s="33">
        <f>$C$30*('E Balans VL '!L14+'E Balans VL '!N14)/100/3.6*1000000</f>
        <v>839.12063430079797</v>
      </c>
      <c r="G10" s="34"/>
      <c r="H10" s="33"/>
      <c r="I10" s="33"/>
      <c r="J10" s="33">
        <f>$C$30*('E Balans VL '!D14+'E Balans VL '!E14)/100/3.6*1000000</f>
        <v>0</v>
      </c>
      <c r="K10" s="33"/>
      <c r="L10" s="33"/>
      <c r="M10" s="33"/>
      <c r="N10" s="33">
        <f>$C$30*'E Balans VL '!Y14/100/3.6*1000000</f>
        <v>1948.6883060317323</v>
      </c>
      <c r="O10" s="33"/>
      <c r="P10" s="33"/>
      <c r="R10" s="32"/>
    </row>
    <row r="11" spans="1:18">
      <c r="A11" s="32" t="s">
        <v>55</v>
      </c>
      <c r="B11" s="37">
        <f t="shared" si="0"/>
        <v>416.20100000000002</v>
      </c>
      <c r="C11" s="33"/>
      <c r="D11" s="37">
        <f>IF(ISERROR(TER_onderwijs_gas_kWh/1000),0,TER_onderwijs_gas_kWh/1000)*0.902</f>
        <v>467.21074399999998</v>
      </c>
      <c r="E11" s="33">
        <f>$C$31*'E Balans VL '!I11/100/3.6*1000000</f>
        <v>0.38608116158500538</v>
      </c>
      <c r="F11" s="33">
        <f>$C$31*('E Balans VL '!L11+'E Balans VL '!N11)/100/3.6*1000000</f>
        <v>146.20184560775206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498.75</v>
      </c>
      <c r="C13" s="249">
        <f ca="1">'lokale energieproductie'!O91+'lokale energieproductie'!O60</f>
        <v>712.5</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-1425</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12035.369999999999</v>
      </c>
      <c r="C16" s="21">
        <f t="shared" ca="1" si="1"/>
        <v>712.5</v>
      </c>
      <c r="D16" s="21">
        <f t="shared" ca="1" si="1"/>
        <v>11813.521962000001</v>
      </c>
      <c r="E16" s="21">
        <f t="shared" si="1"/>
        <v>131.35194053171261</v>
      </c>
      <c r="F16" s="21">
        <f t="shared" ca="1" si="1"/>
        <v>2456.1993387971261</v>
      </c>
      <c r="G16" s="21">
        <f t="shared" si="1"/>
        <v>0</v>
      </c>
      <c r="H16" s="21">
        <f t="shared" si="1"/>
        <v>0</v>
      </c>
      <c r="I16" s="21">
        <f t="shared" si="1"/>
        <v>0</v>
      </c>
      <c r="J16" s="21">
        <f t="shared" si="1"/>
        <v>0</v>
      </c>
      <c r="K16" s="21">
        <f t="shared" si="1"/>
        <v>0</v>
      </c>
      <c r="L16" s="21">
        <f t="shared" ca="1" si="1"/>
        <v>0</v>
      </c>
      <c r="M16" s="21">
        <f t="shared" si="1"/>
        <v>0</v>
      </c>
      <c r="N16" s="21">
        <f t="shared" ca="1" si="1"/>
        <v>545.09712190590835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6.128560293514794E-2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737.59490699759135</v>
      </c>
      <c r="C20" s="23">
        <f t="shared" ref="C20:P20" ca="1" si="2">C16*C18</f>
        <v>0</v>
      </c>
      <c r="D20" s="23">
        <f t="shared" ca="1" si="2"/>
        <v>2386.3314363240002</v>
      </c>
      <c r="E20" s="23">
        <f t="shared" si="2"/>
        <v>29.816890500698765</v>
      </c>
      <c r="F20" s="23">
        <f t="shared" ca="1" si="2"/>
        <v>655.80522345883264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2280.654</v>
      </c>
      <c r="C26" s="39">
        <f>IF(ISERROR(B26*3.6/1000000/'E Balans VL '!Z12*100),0,B26*3.6/1000000/'E Balans VL '!Z12*100)</f>
        <v>4.8442220649134018E-2</v>
      </c>
      <c r="D26" s="239" t="s">
        <v>692</v>
      </c>
      <c r="F26" s="6"/>
    </row>
    <row r="27" spans="1:18">
      <c r="A27" s="233" t="s">
        <v>53</v>
      </c>
      <c r="B27" s="33">
        <f>IF(ISERROR(TER_horeca_ele_kWh/1000),0,TER_horeca_ele_kWh/1000)</f>
        <v>701.82899999999995</v>
      </c>
      <c r="C27" s="39">
        <f>IF(ISERROR(B27*3.6/1000000/'E Balans VL '!Z9*100),0,B27*3.6/1000000/'E Balans VL '!Z9*100)</f>
        <v>5.457147894356025E-2</v>
      </c>
      <c r="D27" s="239" t="s">
        <v>692</v>
      </c>
      <c r="F27" s="6"/>
    </row>
    <row r="28" spans="1:18">
      <c r="A28" s="173" t="s">
        <v>52</v>
      </c>
      <c r="B28" s="33">
        <f>IF(ISERROR(TER_handel_ele_kWh/1000),0,TER_handel_ele_kWh/1000)</f>
        <v>4795.25</v>
      </c>
      <c r="C28" s="39">
        <f>IF(ISERROR(B28*3.6/1000000/'E Balans VL '!Z13*100),0,B28*3.6/1000000/'E Balans VL '!Z13*100)</f>
        <v>0.13719774594470754</v>
      </c>
      <c r="D28" s="239" t="s">
        <v>692</v>
      </c>
      <c r="F28" s="6"/>
    </row>
    <row r="29" spans="1:18">
      <c r="A29" s="233" t="s">
        <v>51</v>
      </c>
      <c r="B29" s="33">
        <f>IF(ISERROR(TER_gezond_ele_kWh/1000),0,TER_gezond_ele_kWh/1000)</f>
        <v>543.11199999999997</v>
      </c>
      <c r="C29" s="39">
        <f>IF(ISERROR(B29*3.6/1000000/'E Balans VL '!Z10*100),0,B29*3.6/1000000/'E Balans VL '!Z10*100)</f>
        <v>5.9211828409291269E-2</v>
      </c>
      <c r="D29" s="239" t="s">
        <v>692</v>
      </c>
      <c r="F29" s="6"/>
    </row>
    <row r="30" spans="1:18">
      <c r="A30" s="233" t="s">
        <v>50</v>
      </c>
      <c r="B30" s="33">
        <f>IF(ISERROR(TER_ander_ele_kWh/1000),0,TER_ander_ele_kWh/1000)</f>
        <v>2799.5740000000001</v>
      </c>
      <c r="C30" s="39">
        <f>IF(ISERROR(B30*3.6/1000000/'E Balans VL '!Z14*100),0,B30*3.6/1000000/'E Balans VL '!Z14*100)</f>
        <v>0.20486647463692681</v>
      </c>
      <c r="D30" s="239" t="s">
        <v>692</v>
      </c>
      <c r="F30" s="6"/>
    </row>
    <row r="31" spans="1:18">
      <c r="A31" s="233" t="s">
        <v>55</v>
      </c>
      <c r="B31" s="33">
        <f>IF(ISERROR(TER_onderwijs_ele_kWh/1000),0,TER_onderwijs_ele_kWh/1000)</f>
        <v>416.20100000000002</v>
      </c>
      <c r="C31" s="39">
        <f>IF(ISERROR(B31*3.6/1000000/'E Balans VL '!Z11*100),0,B31*3.6/1000000/'E Balans VL '!Z11*100)</f>
        <v>8.3594279912340239E-2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4860.4399999999996</v>
      </c>
      <c r="C5" s="17">
        <f>IF(ISERROR('Eigen informatie GS &amp; warmtenet'!B59),0,'Eigen informatie GS &amp; warmtenet'!B59)</f>
        <v>0</v>
      </c>
      <c r="D5" s="30">
        <f>SUM(D6:D15)</f>
        <v>5717.161032</v>
      </c>
      <c r="E5" s="17">
        <f>SUM(E6:E15)</f>
        <v>764.83440082136735</v>
      </c>
      <c r="F5" s="17">
        <f>SUM(F6:F15)</f>
        <v>2711.0252792645506</v>
      </c>
      <c r="G5" s="18"/>
      <c r="H5" s="17"/>
      <c r="I5" s="17"/>
      <c r="J5" s="17">
        <f>SUM(J6:J15)</f>
        <v>5.6579246102951934</v>
      </c>
      <c r="K5" s="17"/>
      <c r="L5" s="17"/>
      <c r="M5" s="17"/>
      <c r="N5" s="17">
        <f>SUM(N6:N15)</f>
        <v>1541.184473203896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447.46800000000002</v>
      </c>
      <c r="C8" s="33"/>
      <c r="D8" s="37">
        <f>IF( ISERROR(IND_metaal_Gas_kWH/1000),0,IND_metaal_Gas_kWH/1000)*0.902</f>
        <v>519.11362800000006</v>
      </c>
      <c r="E8" s="33">
        <f>C30*'E Balans VL '!I18/100/3.6*1000000</f>
        <v>12.852960548822466</v>
      </c>
      <c r="F8" s="33">
        <f>C30*'E Balans VL '!L18/100/3.6*1000000+C30*'E Balans VL '!N18/100/3.6*1000000</f>
        <v>114.76693595357403</v>
      </c>
      <c r="G8" s="34"/>
      <c r="H8" s="33"/>
      <c r="I8" s="33"/>
      <c r="J8" s="40">
        <f>C30*'E Balans VL '!D18/100/3.6*1000000+C30*'E Balans VL '!E18/100/3.6*1000000</f>
        <v>0</v>
      </c>
      <c r="K8" s="33"/>
      <c r="L8" s="33"/>
      <c r="M8" s="33"/>
      <c r="N8" s="33">
        <f>C30*'E Balans VL '!Y18/100/3.6*1000000</f>
        <v>12.149669611598075</v>
      </c>
      <c r="O8" s="33"/>
      <c r="P8" s="33"/>
      <c r="R8" s="32"/>
    </row>
    <row r="9" spans="1:18">
      <c r="A9" s="6" t="s">
        <v>33</v>
      </c>
      <c r="B9" s="37">
        <f t="shared" si="0"/>
        <v>2535.915</v>
      </c>
      <c r="C9" s="33"/>
      <c r="D9" s="37">
        <f>IF( ISERROR(IND_andere_gas_kWh/1000),0,IND_andere_gas_kWh/1000)*0.902</f>
        <v>4067.4526420000002</v>
      </c>
      <c r="E9" s="33">
        <f>C31*'E Balans VL '!I19/100/3.6*1000000</f>
        <v>686.40983985532773</v>
      </c>
      <c r="F9" s="33">
        <f>C31*'E Balans VL '!L19/100/3.6*1000000+C31*'E Balans VL '!N19/100/3.6*1000000</f>
        <v>1689.1877458639233</v>
      </c>
      <c r="G9" s="34"/>
      <c r="H9" s="33"/>
      <c r="I9" s="33"/>
      <c r="J9" s="40">
        <f>C31*'E Balans VL '!D19/100/3.6*1000000+C31*'E Balans VL '!E19/100/3.6*1000000</f>
        <v>0</v>
      </c>
      <c r="K9" s="33"/>
      <c r="L9" s="33"/>
      <c r="M9" s="33"/>
      <c r="N9" s="33">
        <f>C31*'E Balans VL '!Y19/100/3.6*1000000</f>
        <v>827.93412234547293</v>
      </c>
      <c r="O9" s="33"/>
      <c r="P9" s="33"/>
      <c r="R9" s="32"/>
    </row>
    <row r="10" spans="1:18">
      <c r="A10" s="6" t="s">
        <v>41</v>
      </c>
      <c r="B10" s="37">
        <f t="shared" si="0"/>
        <v>314.16500000000002</v>
      </c>
      <c r="C10" s="33"/>
      <c r="D10" s="37">
        <f>IF( ISERROR(IND_voed_gas_kWh/1000),0,IND_voed_gas_kWh/1000)*0.902</f>
        <v>332.33919400000002</v>
      </c>
      <c r="E10" s="33">
        <f>C32*'E Balans VL '!I20/100/3.6*1000000</f>
        <v>25.624019175305929</v>
      </c>
      <c r="F10" s="33">
        <f>C32*'E Balans VL '!L20/100/3.6*1000000+C32*'E Balans VL '!N20/100/3.6*1000000</f>
        <v>468.44851854631759</v>
      </c>
      <c r="G10" s="34"/>
      <c r="H10" s="33"/>
      <c r="I10" s="33"/>
      <c r="J10" s="40">
        <f>C32*'E Balans VL '!D20/100/3.6*1000000+C32*'E Balans VL '!E20/100/3.6*1000000</f>
        <v>4.156021604847686E-3</v>
      </c>
      <c r="K10" s="33"/>
      <c r="L10" s="33"/>
      <c r="M10" s="33"/>
      <c r="N10" s="33">
        <f>C32*'E Balans VL '!Y20/100/3.6*1000000</f>
        <v>92.290591312495962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764.40099999999995</v>
      </c>
      <c r="C12" s="33"/>
      <c r="D12" s="37">
        <f>IF( ISERROR(IND_min_gas_kWh/1000),0,IND_min_gas_kWh/1000)*0.902</f>
        <v>555.989192</v>
      </c>
      <c r="E12" s="33">
        <f>C34*'E Balans VL '!I22/100/3.6*1000000</f>
        <v>5.9545172341116412</v>
      </c>
      <c r="F12" s="33">
        <f>C34*'E Balans VL '!L22/100/3.6*1000000+C34*'E Balans VL '!N22/100/3.6*1000000</f>
        <v>288.28508332386235</v>
      </c>
      <c r="G12" s="34"/>
      <c r="H12" s="33"/>
      <c r="I12" s="33"/>
      <c r="J12" s="40">
        <f>C34*'E Balans VL '!D22/100/3.6*1000000+C34*'E Balans VL '!E22/100/3.6*1000000</f>
        <v>4.2041386661828355</v>
      </c>
      <c r="K12" s="33"/>
      <c r="L12" s="33"/>
      <c r="M12" s="33"/>
      <c r="N12" s="33">
        <f>C34*'E Balans VL '!Y22/100/3.6*1000000</f>
        <v>0</v>
      </c>
      <c r="O12" s="33"/>
      <c r="P12" s="33"/>
      <c r="R12" s="32"/>
    </row>
    <row r="13" spans="1:18">
      <c r="A13" s="6" t="s">
        <v>39</v>
      </c>
      <c r="B13" s="37">
        <f t="shared" si="0"/>
        <v>232.90600000000001</v>
      </c>
      <c r="C13" s="33"/>
      <c r="D13" s="37">
        <f>IF( ISERROR(IND_papier_gas_kWh/1000),0,IND_papier_gas_kWh/1000)*0.902</f>
        <v>242.26637600000004</v>
      </c>
      <c r="E13" s="33">
        <f>C35*'E Balans VL '!I23/100/3.6*1000000</f>
        <v>2.4401146529499602</v>
      </c>
      <c r="F13" s="33">
        <f>C35*'E Balans VL '!L23/100/3.6*1000000+C35*'E Balans VL '!N23/100/3.6*1000000</f>
        <v>17.379487001664565</v>
      </c>
      <c r="G13" s="34"/>
      <c r="H13" s="33"/>
      <c r="I13" s="33"/>
      <c r="J13" s="40">
        <f>C35*'E Balans VL '!D23/100/3.6*1000000+C35*'E Balans VL '!E23/100/3.6*1000000</f>
        <v>0</v>
      </c>
      <c r="K13" s="33"/>
      <c r="L13" s="33"/>
      <c r="M13" s="33"/>
      <c r="N13" s="33">
        <f>C35*'E Balans VL '!Y23/100/3.6*1000000</f>
        <v>497.81226501035366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565.58500000000004</v>
      </c>
      <c r="C15" s="33"/>
      <c r="D15" s="37">
        <f>IF( ISERROR(IND_rest_gas_kWh/1000),0,IND_rest_gas_kWh/1000)*0.902</f>
        <v>0</v>
      </c>
      <c r="E15" s="33">
        <f>C37*'E Balans VL '!I15/100/3.6*1000000</f>
        <v>31.552949354849588</v>
      </c>
      <c r="F15" s="33">
        <f>C37*'E Balans VL '!L15/100/3.6*1000000+C37*'E Balans VL '!N15/100/3.6*1000000</f>
        <v>132.95750857520918</v>
      </c>
      <c r="G15" s="34"/>
      <c r="H15" s="33"/>
      <c r="I15" s="33"/>
      <c r="J15" s="40">
        <f>C37*'E Balans VL '!D15/100/3.6*1000000+C37*'E Balans VL '!E15/100/3.6*1000000</f>
        <v>1.4496299225075107</v>
      </c>
      <c r="K15" s="33"/>
      <c r="L15" s="33"/>
      <c r="M15" s="33"/>
      <c r="N15" s="33">
        <f>C37*'E Balans VL '!Y15/100/3.6*1000000</f>
        <v>110.99782492397549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4860.4399999999996</v>
      </c>
      <c r="C18" s="21">
        <f>C5+C16</f>
        <v>0</v>
      </c>
      <c r="D18" s="21">
        <f>MAX((D5+D16),0)</f>
        <v>5717.161032</v>
      </c>
      <c r="E18" s="21">
        <f>MAX((E5+E16),0)</f>
        <v>764.83440082136735</v>
      </c>
      <c r="F18" s="21">
        <f>MAX((F5+F16),0)</f>
        <v>2711.0252792645506</v>
      </c>
      <c r="G18" s="21"/>
      <c r="H18" s="21"/>
      <c r="I18" s="21"/>
      <c r="J18" s="21">
        <f>MAX((J5+J16),0)</f>
        <v>5.6579246102951934</v>
      </c>
      <c r="K18" s="21"/>
      <c r="L18" s="21">
        <f>MAX((L5+L16),0)</f>
        <v>0</v>
      </c>
      <c r="M18" s="21"/>
      <c r="N18" s="21">
        <f>MAX((N5+N16),0)</f>
        <v>1541.184473203896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6.128560293514794E-2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297.8749959301104</v>
      </c>
      <c r="C22" s="23">
        <f ca="1">C18*C20</f>
        <v>0</v>
      </c>
      <c r="D22" s="23">
        <f>D18*D20</f>
        <v>1154.8665284640001</v>
      </c>
      <c r="E22" s="23">
        <f>E18*E20</f>
        <v>173.61740898645039</v>
      </c>
      <c r="F22" s="23">
        <f>F18*F20</f>
        <v>723.84374956363501</v>
      </c>
      <c r="G22" s="23"/>
      <c r="H22" s="23"/>
      <c r="I22" s="23"/>
      <c r="J22" s="23">
        <f>J18*J20</f>
        <v>2.0029053120444984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447.46800000000002</v>
      </c>
      <c r="C30" s="39">
        <f>IF(ISERROR(B30*3.6/1000000/'E Balans VL '!Z18*100),0,B30*3.6/1000000/'E Balans VL '!Z18*100)</f>
        <v>4.4029708935875753E-2</v>
      </c>
      <c r="D30" s="239" t="s">
        <v>692</v>
      </c>
    </row>
    <row r="31" spans="1:18">
      <c r="A31" s="6" t="s">
        <v>33</v>
      </c>
      <c r="B31" s="37">
        <f>IF( ISERROR(IND_ander_ele_kWh/1000),0,IND_ander_ele_kWh/1000)</f>
        <v>2535.915</v>
      </c>
      <c r="C31" s="39">
        <f>IF(ISERROR(B31*3.6/1000000/'E Balans VL '!Z19*100),0,B31*3.6/1000000/'E Balans VL '!Z19*100)</f>
        <v>0.11043707537053116</v>
      </c>
      <c r="D31" s="239" t="s">
        <v>692</v>
      </c>
    </row>
    <row r="32" spans="1:18">
      <c r="A32" s="173" t="s">
        <v>41</v>
      </c>
      <c r="B32" s="37">
        <f>IF( ISERROR(IND_voed_ele_kWh/1000),0,IND_voed_ele_kWh/1000)</f>
        <v>314.16500000000002</v>
      </c>
      <c r="C32" s="39">
        <f>IF(ISERROR(B32*3.6/1000000/'E Balans VL '!Z20*100),0,B32*3.6/1000000/'E Balans VL '!Z20*100)</f>
        <v>5.9608277997813063E-2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764.40099999999995</v>
      </c>
      <c r="C34" s="39">
        <f>IF(ISERROR(B34*3.6/1000000/'E Balans VL '!Z22*100),0,B34*3.6/1000000/'E Balans VL '!Z22*100)</f>
        <v>0.10748245647558777</v>
      </c>
      <c r="D34" s="239" t="s">
        <v>692</v>
      </c>
    </row>
    <row r="35" spans="1:5">
      <c r="A35" s="173" t="s">
        <v>39</v>
      </c>
      <c r="B35" s="37">
        <f>IF( ISERROR(IND_papier_ele_kWh/1000),0,IND_papier_ele_kWh/1000)</f>
        <v>232.90600000000001</v>
      </c>
      <c r="C35" s="39">
        <f>IF(ISERROR(B35*3.6/1000000/'E Balans VL '!Z22*100),0,B35*3.6/1000000/'E Balans VL '!Z22*100)</f>
        <v>3.274892236915343E-2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565.58500000000004</v>
      </c>
      <c r="C37" s="39">
        <f>IF(ISERROR(B37*3.6/1000000/'E Balans VL '!Z15*100),0,B37*3.6/1000000/'E Balans VL '!Z15*100)</f>
        <v>4.358527106573703E-3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2561.527</v>
      </c>
      <c r="C5" s="17">
        <f>'Eigen informatie GS &amp; warmtenet'!B60</f>
        <v>0</v>
      </c>
      <c r="D5" s="30">
        <f>IF(ISERROR(SUM(LB_lb_gas_kWh,LB_rest_gas_kWh)/1000),0,SUM(LB_lb_gas_kWh,LB_rest_gas_kWh)/1000)*0.902</f>
        <v>1484.6018000000001</v>
      </c>
      <c r="E5" s="17">
        <f>B17*'E Balans VL '!I25/3.6*1000000/100</f>
        <v>32.278540117717178</v>
      </c>
      <c r="F5" s="17">
        <f>B17*('E Balans VL '!L25/3.6*1000000+'E Balans VL '!N25/3.6*1000000)/100</f>
        <v>8837.9098508566985</v>
      </c>
      <c r="G5" s="18"/>
      <c r="H5" s="17"/>
      <c r="I5" s="17"/>
      <c r="J5" s="17">
        <f>('E Balans VL '!D25+'E Balans VL '!E25)/3.6*1000000*landbouw!B17/100</f>
        <v>385.22454238874838</v>
      </c>
      <c r="K5" s="17"/>
      <c r="L5" s="17">
        <f>L6*(-1)</f>
        <v>1012.5</v>
      </c>
      <c r="M5" s="17"/>
      <c r="N5" s="17">
        <f>N6*(-1)</f>
        <v>114.32142857142857</v>
      </c>
      <c r="O5" s="17"/>
      <c r="P5" s="17"/>
      <c r="R5" s="32"/>
    </row>
    <row r="6" spans="1:18">
      <c r="A6" s="16" t="s">
        <v>497</v>
      </c>
      <c r="B6" s="17" t="s">
        <v>211</v>
      </c>
      <c r="C6" s="17">
        <f>'lokale energieproductie'!O92+'lokale energieproductie'!O61</f>
        <v>57.160714285714278</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-1012.5</v>
      </c>
      <c r="M6" s="250"/>
      <c r="N6" s="1043">
        <f>('lokale energieproductie'!V61+'lokale energieproductie'!R61+'lokale energieproductie'!Q61+'lokale energieproductie'!Q92+'lokale energieproductie'!R92+'lokale energieproductie'!V92)*(-1)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2561.527</v>
      </c>
      <c r="C8" s="21">
        <f>C5+C6</f>
        <v>57.160714285714278</v>
      </c>
      <c r="D8" s="21">
        <f>MAX((D5+D6),0)</f>
        <v>1484.6018000000001</v>
      </c>
      <c r="E8" s="21">
        <f>MAX((E5+E6),0)</f>
        <v>32.278540117717178</v>
      </c>
      <c r="F8" s="21">
        <f>MAX((F5+F6),0)</f>
        <v>8837.9098508566985</v>
      </c>
      <c r="G8" s="21"/>
      <c r="H8" s="21"/>
      <c r="I8" s="21"/>
      <c r="J8" s="21">
        <f>MAX((J5+J6),0)</f>
        <v>385.22454238874838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6.128560293514794E-2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156.98472662966071</v>
      </c>
      <c r="C12" s="23">
        <f ca="1">C8*C10</f>
        <v>0</v>
      </c>
      <c r="D12" s="23">
        <f>D8*D10</f>
        <v>299.88956360000003</v>
      </c>
      <c r="E12" s="23">
        <f>E8*E10</f>
        <v>7.3272286067217998</v>
      </c>
      <c r="F12" s="23">
        <f>F8*F10</f>
        <v>2359.7219301787386</v>
      </c>
      <c r="G12" s="23"/>
      <c r="H12" s="23"/>
      <c r="I12" s="23"/>
      <c r="J12" s="23">
        <f>J8*J10</f>
        <v>136.36948800561692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0.35725228185530744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494.20646019060598</v>
      </c>
      <c r="C26" s="249">
        <f>B26*'GWP N2O_CH4'!B5</f>
        <v>10378.335664002725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201.88553718392836</v>
      </c>
      <c r="C27" s="249">
        <f>B27*'GWP N2O_CH4'!B5</f>
        <v>4239.5962808624954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6.6130800084425978</v>
      </c>
      <c r="C28" s="249">
        <f>B28*'GWP N2O_CH4'!B4</f>
        <v>2050.0548026172055</v>
      </c>
      <c r="D28" s="50"/>
    </row>
    <row r="29" spans="1:4">
      <c r="A29" s="41" t="s">
        <v>277</v>
      </c>
      <c r="B29" s="249">
        <f>B34*'ha_N2O bodem landbouw'!B4</f>
        <v>18.787192587009951</v>
      </c>
      <c r="C29" s="249">
        <f>B29*'GWP N2O_CH4'!B4</f>
        <v>5824.0297019730851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4.6909742621085585E-3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2.9548500490195615E-5</v>
      </c>
      <c r="C5" s="448" t="s">
        <v>211</v>
      </c>
      <c r="D5" s="433">
        <f>SUM(D6:D11)</f>
        <v>4.4943756147097789E-5</v>
      </c>
      <c r="E5" s="433">
        <f>SUM(E6:E11)</f>
        <v>1.6139141841602007E-3</v>
      </c>
      <c r="F5" s="446" t="s">
        <v>211</v>
      </c>
      <c r="G5" s="433">
        <f>SUM(G6:G11)</f>
        <v>0.53378535715202624</v>
      </c>
      <c r="H5" s="433">
        <f>SUM(H6:H11)</f>
        <v>6.9589918543276605E-2</v>
      </c>
      <c r="I5" s="448" t="s">
        <v>211</v>
      </c>
      <c r="J5" s="448" t="s">
        <v>211</v>
      </c>
      <c r="K5" s="448" t="s">
        <v>211</v>
      </c>
      <c r="L5" s="448" t="s">
        <v>211</v>
      </c>
      <c r="M5" s="433">
        <f>SUM(M6:M11)</f>
        <v>2.7262279474701893E-2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9.3384833031162855E-6</v>
      </c>
      <c r="C6" s="887"/>
      <c r="D6" s="887">
        <f>vkm_2011_GW_PW*SUMIFS(TableVerdeelsleutelVkm[CNG],TableVerdeelsleutelVkm[Voertuigtype],"Lichte voertuigen")*SUMIFS(TableECFTransport[EnergieConsumptieFactor (PJ per km)],TableECFTransport[Index],CONCATENATE($A6,"_CNG_CNG"))</f>
        <v>1.3225118783515076E-5</v>
      </c>
      <c r="E6" s="887">
        <f>vkm_2011_GW_PW*SUMIFS(TableVerdeelsleutelVkm[LPG],TableVerdeelsleutelVkm[Voertuigtype],"Lichte voertuigen")*SUMIFS(TableECFTransport[EnergieConsumptieFactor (PJ per km)],TableECFTransport[Index],CONCATENATE($A6,"_LPG_LPG"))</f>
        <v>4.1535744274975471E-4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7.4651105795925377E-2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2.0003364485793932E-2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4.2824706825740095E-3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4.9770207377405791E-2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1.7682838725273117E-5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2.2459719471002232E-3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1.7562016190175999E-6</v>
      </c>
      <c r="C8" s="887"/>
      <c r="D8" s="436">
        <f>vkm_2011_NGW_PW*SUMIFS(TableVerdeelsleutelVkm[CNG],TableVerdeelsleutelVkm[Voertuigtype],"Lichte voertuigen")*SUMIFS(TableECFTransport[EnergieConsumptieFactor (PJ per km)],TableECFTransport[Index],CONCATENATE($A8,"_CNG_CNG"))</f>
        <v>4.4308555450274822E-6</v>
      </c>
      <c r="E8" s="436">
        <f>vkm_2011_NGW_PW*SUMIFS(TableVerdeelsleutelVkm[LPG],TableVerdeelsleutelVkm[Voertuigtype],"Lichte voertuigen")*SUMIFS(TableECFTransport[EnergieConsumptieFactor (PJ per km)],TableECFTransport[Index],CONCATENATE($A8,"_LPG_LPG"))</f>
        <v>1.281746881855839E-4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2.1726852556971609E-2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6.4665717433685255E-3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1.2758796514826028E-3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8.4289318326655118E-3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2.8338690557134852E-6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3.8036366122569176E-4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1.8453815568061728E-5</v>
      </c>
      <c r="C10" s="887"/>
      <c r="D10" s="436">
        <f>vkm_2011_SW_PW*SUMIFS(TableVerdeelsleutelVkm[CNG],TableVerdeelsleutelVkm[Voertuigtype],"Lichte voertuigen")*SUMIFS(TableECFTransport[EnergieConsumptieFactor (PJ per km)],TableECFTransport[Index],CONCATENATE($A10,"_CNG_CNG"))</f>
        <v>2.7287781818555233E-5</v>
      </c>
      <c r="E10" s="436">
        <f>vkm_2011_SW_PW*SUMIFS(TableVerdeelsleutelVkm[LPG],TableVerdeelsleutelVkm[Voertuigtype],"Lichte voertuigen")*SUMIFS(TableECFTransport[EnergieConsumptieFactor (PJ per km)],TableECFTransport[Index],CONCATENATE($A10,"_LPG_LPG"))</f>
        <v>1.0703820532248619E-3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0.17422673096116142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4.3020928175633237E-2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9.8271647201021838E-3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0.20498152862789654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7.8537430699919316E-5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9.2504288122171839E-3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8.2079168028321163</v>
      </c>
      <c r="C14" s="21"/>
      <c r="D14" s="21">
        <f t="shared" ref="D14:M14" si="0">((D5)*10^9/3600)+D12</f>
        <v>12.484376707527163</v>
      </c>
      <c r="E14" s="21">
        <f t="shared" si="0"/>
        <v>448.30949560005575</v>
      </c>
      <c r="F14" s="21"/>
      <c r="G14" s="21">
        <f t="shared" si="0"/>
        <v>148273.71032000729</v>
      </c>
      <c r="H14" s="21">
        <f t="shared" si="0"/>
        <v>19330.532928687946</v>
      </c>
      <c r="I14" s="21"/>
      <c r="J14" s="21"/>
      <c r="K14" s="21"/>
      <c r="L14" s="21"/>
      <c r="M14" s="21">
        <f t="shared" si="0"/>
        <v>7572.8554096394146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6.128560293514794E-2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0.50302713010309807</v>
      </c>
      <c r="C18" s="23"/>
      <c r="D18" s="23">
        <f t="shared" ref="D18:M18" si="1">D14*D16</f>
        <v>2.5218440949204872</v>
      </c>
      <c r="E18" s="23">
        <f t="shared" si="1"/>
        <v>101.76625550121265</v>
      </c>
      <c r="F18" s="23"/>
      <c r="G18" s="23">
        <f t="shared" si="1"/>
        <v>39589.080655441947</v>
      </c>
      <c r="H18" s="23">
        <f t="shared" si="1"/>
        <v>4813.3026992432988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4.9514853815261183E-3</v>
      </c>
      <c r="H50" s="323">
        <f t="shared" si="2"/>
        <v>0</v>
      </c>
      <c r="I50" s="323">
        <f t="shared" si="2"/>
        <v>0</v>
      </c>
      <c r="J50" s="323">
        <f t="shared" si="2"/>
        <v>0</v>
      </c>
      <c r="K50" s="323">
        <f t="shared" si="2"/>
        <v>0</v>
      </c>
      <c r="L50" s="323">
        <f t="shared" si="2"/>
        <v>0</v>
      </c>
      <c r="M50" s="323">
        <f t="shared" si="2"/>
        <v>2.2020466583565849E-4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4.9514853815261183E-3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2.2020466583565849E-4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1375.4126059794773</v>
      </c>
      <c r="H54" s="21">
        <f t="shared" si="3"/>
        <v>0</v>
      </c>
      <c r="I54" s="21">
        <f t="shared" si="3"/>
        <v>0</v>
      </c>
      <c r="J54" s="21">
        <f t="shared" si="3"/>
        <v>0</v>
      </c>
      <c r="K54" s="21">
        <f t="shared" si="3"/>
        <v>0</v>
      </c>
      <c r="L54" s="21">
        <f t="shared" si="3"/>
        <v>0</v>
      </c>
      <c r="M54" s="21">
        <f t="shared" si="3"/>
        <v>61.167962732127357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6.128560293514794E-2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367.23516579652045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13088.009999999998</v>
      </c>
      <c r="D10" s="690">
        <f ca="1">tertiair!C16</f>
        <v>712.5</v>
      </c>
      <c r="E10" s="690">
        <f ca="1">tertiair!D16</f>
        <v>11813.521962000001</v>
      </c>
      <c r="F10" s="690">
        <f>tertiair!E16</f>
        <v>131.35194053171261</v>
      </c>
      <c r="G10" s="690">
        <f ca="1">tertiair!F16</f>
        <v>2456.1993387971261</v>
      </c>
      <c r="H10" s="690">
        <f>tertiair!G16</f>
        <v>0</v>
      </c>
      <c r="I10" s="690">
        <f>tertiair!H16</f>
        <v>0</v>
      </c>
      <c r="J10" s="690">
        <f>tertiair!I16</f>
        <v>0</v>
      </c>
      <c r="K10" s="690">
        <f>tertiair!J16</f>
        <v>0</v>
      </c>
      <c r="L10" s="690">
        <f>tertiair!K16</f>
        <v>0</v>
      </c>
      <c r="M10" s="690">
        <f ca="1">tertiair!L16</f>
        <v>0</v>
      </c>
      <c r="N10" s="690">
        <f>tertiair!M16</f>
        <v>0</v>
      </c>
      <c r="O10" s="690">
        <f ca="1">tertiair!N16</f>
        <v>545.09712190590835</v>
      </c>
      <c r="P10" s="690">
        <f>tertiair!O16</f>
        <v>1.5633333333333335</v>
      </c>
      <c r="Q10" s="691">
        <f>tertiair!P16</f>
        <v>19.066666666666666</v>
      </c>
      <c r="R10" s="693">
        <f ca="1">SUM(C10:Q10)</f>
        <v>28767.310363234748</v>
      </c>
      <c r="S10" s="67"/>
    </row>
    <row r="11" spans="1:19" s="458" customFormat="1">
      <c r="A11" s="805" t="s">
        <v>225</v>
      </c>
      <c r="B11" s="810"/>
      <c r="C11" s="690">
        <f>huishoudens!B8</f>
        <v>21874.497000000003</v>
      </c>
      <c r="D11" s="690">
        <f>huishoudens!C8</f>
        <v>0</v>
      </c>
      <c r="E11" s="690">
        <f>huishoudens!D8</f>
        <v>52212.221292000002</v>
      </c>
      <c r="F11" s="690">
        <f>huishoudens!E8</f>
        <v>2589.7277816216788</v>
      </c>
      <c r="G11" s="690">
        <f>huishoudens!F8</f>
        <v>0</v>
      </c>
      <c r="H11" s="690">
        <f>huishoudens!G8</f>
        <v>0</v>
      </c>
      <c r="I11" s="690">
        <f>huishoudens!H8</f>
        <v>0</v>
      </c>
      <c r="J11" s="690">
        <f>huishoudens!I8</f>
        <v>0</v>
      </c>
      <c r="K11" s="690">
        <f>huishoudens!J8</f>
        <v>1350.6780750263792</v>
      </c>
      <c r="L11" s="690">
        <f>huishoudens!K8</f>
        <v>0</v>
      </c>
      <c r="M11" s="690">
        <f>huishoudens!L8</f>
        <v>0</v>
      </c>
      <c r="N11" s="690">
        <f>huishoudens!M8</f>
        <v>0</v>
      </c>
      <c r="O11" s="690">
        <f>huishoudens!N8</f>
        <v>16643.488061698052</v>
      </c>
      <c r="P11" s="690">
        <f>huishoudens!O8</f>
        <v>209.48666666666671</v>
      </c>
      <c r="Q11" s="691">
        <f>huishoudens!P8</f>
        <v>152.53333333333333</v>
      </c>
      <c r="R11" s="693">
        <f>SUM(C11:Q11)</f>
        <v>95032.632210346128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4860.4399999999996</v>
      </c>
      <c r="D13" s="690">
        <f>industrie!C18</f>
        <v>0</v>
      </c>
      <c r="E13" s="690">
        <f>industrie!D18</f>
        <v>5717.161032</v>
      </c>
      <c r="F13" s="690">
        <f>industrie!E18</f>
        <v>764.83440082136735</v>
      </c>
      <c r="G13" s="690">
        <f>industrie!F18</f>
        <v>2711.0252792645506</v>
      </c>
      <c r="H13" s="690">
        <f>industrie!G18</f>
        <v>0</v>
      </c>
      <c r="I13" s="690">
        <f>industrie!H18</f>
        <v>0</v>
      </c>
      <c r="J13" s="690">
        <f>industrie!I18</f>
        <v>0</v>
      </c>
      <c r="K13" s="690">
        <f>industrie!J18</f>
        <v>5.6579246102951934</v>
      </c>
      <c r="L13" s="690">
        <f>industrie!K18</f>
        <v>0</v>
      </c>
      <c r="M13" s="690">
        <f>industrie!L18</f>
        <v>0</v>
      </c>
      <c r="N13" s="690">
        <f>industrie!M18</f>
        <v>0</v>
      </c>
      <c r="O13" s="690">
        <f>industrie!N18</f>
        <v>1541.184473203896</v>
      </c>
      <c r="P13" s="690">
        <f>industrie!O18</f>
        <v>0</v>
      </c>
      <c r="Q13" s="691">
        <f>industrie!P18</f>
        <v>0</v>
      </c>
      <c r="R13" s="693">
        <f>SUM(C13:Q13)</f>
        <v>15600.303109900109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39822.947</v>
      </c>
      <c r="D16" s="725">
        <f t="shared" ref="D16:R16" ca="1" si="0">SUM(D9:D15)</f>
        <v>712.5</v>
      </c>
      <c r="E16" s="725">
        <f t="shared" ca="1" si="0"/>
        <v>69742.904286000005</v>
      </c>
      <c r="F16" s="725">
        <f t="shared" si="0"/>
        <v>3485.9141229747584</v>
      </c>
      <c r="G16" s="725">
        <f t="shared" ca="1" si="0"/>
        <v>5167.2246180616767</v>
      </c>
      <c r="H16" s="725">
        <f t="shared" si="0"/>
        <v>0</v>
      </c>
      <c r="I16" s="725">
        <f t="shared" si="0"/>
        <v>0</v>
      </c>
      <c r="J16" s="725">
        <f t="shared" si="0"/>
        <v>0</v>
      </c>
      <c r="K16" s="725">
        <f t="shared" si="0"/>
        <v>1356.3359996366744</v>
      </c>
      <c r="L16" s="725">
        <f t="shared" si="0"/>
        <v>0</v>
      </c>
      <c r="M16" s="725">
        <f t="shared" ca="1" si="0"/>
        <v>0</v>
      </c>
      <c r="N16" s="725">
        <f t="shared" si="0"/>
        <v>0</v>
      </c>
      <c r="O16" s="725">
        <f t="shared" ca="1" si="0"/>
        <v>18729.769656807854</v>
      </c>
      <c r="P16" s="725">
        <f t="shared" si="0"/>
        <v>211.05000000000004</v>
      </c>
      <c r="Q16" s="725">
        <f t="shared" si="0"/>
        <v>171.6</v>
      </c>
      <c r="R16" s="725">
        <f t="shared" ca="1" si="0"/>
        <v>139400.24568348099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1375.4126059794773</v>
      </c>
      <c r="I19" s="690">
        <f>transport!H54</f>
        <v>0</v>
      </c>
      <c r="J19" s="690">
        <f>transport!I54</f>
        <v>0</v>
      </c>
      <c r="K19" s="690">
        <f>transport!J54</f>
        <v>0</v>
      </c>
      <c r="L19" s="690">
        <f>transport!K54</f>
        <v>0</v>
      </c>
      <c r="M19" s="690">
        <f>transport!L54</f>
        <v>0</v>
      </c>
      <c r="N19" s="690">
        <f>transport!M54</f>
        <v>61.167962732127357</v>
      </c>
      <c r="O19" s="690">
        <f>transport!N54</f>
        <v>0</v>
      </c>
      <c r="P19" s="690">
        <f>transport!O54</f>
        <v>0</v>
      </c>
      <c r="Q19" s="691">
        <f>transport!P54</f>
        <v>0</v>
      </c>
      <c r="R19" s="693">
        <f>SUM(C19:Q19)</f>
        <v>1436.5805687116047</v>
      </c>
      <c r="S19" s="67"/>
    </row>
    <row r="20" spans="1:19" s="458" customFormat="1">
      <c r="A20" s="805" t="s">
        <v>307</v>
      </c>
      <c r="B20" s="810"/>
      <c r="C20" s="690">
        <f>transport!B14</f>
        <v>8.2079168028321163</v>
      </c>
      <c r="D20" s="690">
        <f>transport!C14</f>
        <v>0</v>
      </c>
      <c r="E20" s="690">
        <f>transport!D14</f>
        <v>12.484376707527163</v>
      </c>
      <c r="F20" s="690">
        <f>transport!E14</f>
        <v>448.30949560005575</v>
      </c>
      <c r="G20" s="690">
        <f>transport!F14</f>
        <v>0</v>
      </c>
      <c r="H20" s="690">
        <f>transport!G14</f>
        <v>148273.71032000729</v>
      </c>
      <c r="I20" s="690">
        <f>transport!H14</f>
        <v>19330.532928687946</v>
      </c>
      <c r="J20" s="690">
        <f>transport!I14</f>
        <v>0</v>
      </c>
      <c r="K20" s="690">
        <f>transport!J14</f>
        <v>0</v>
      </c>
      <c r="L20" s="690">
        <f>transport!K14</f>
        <v>0</v>
      </c>
      <c r="M20" s="690">
        <f>transport!L14</f>
        <v>0</v>
      </c>
      <c r="N20" s="690">
        <f>transport!M14</f>
        <v>7572.8554096394146</v>
      </c>
      <c r="O20" s="690">
        <f>transport!N14</f>
        <v>0</v>
      </c>
      <c r="P20" s="690">
        <f>transport!O14</f>
        <v>0</v>
      </c>
      <c r="Q20" s="691">
        <f>transport!P14</f>
        <v>0</v>
      </c>
      <c r="R20" s="693">
        <f>SUM(C20:Q20)</f>
        <v>175646.10044744509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8.2079168028321163</v>
      </c>
      <c r="D22" s="808">
        <f t="shared" ref="D22:R22" si="1">SUM(D18:D21)</f>
        <v>0</v>
      </c>
      <c r="E22" s="808">
        <f t="shared" si="1"/>
        <v>12.484376707527163</v>
      </c>
      <c r="F22" s="808">
        <f t="shared" si="1"/>
        <v>448.30949560005575</v>
      </c>
      <c r="G22" s="808">
        <f t="shared" si="1"/>
        <v>0</v>
      </c>
      <c r="H22" s="808">
        <f t="shared" si="1"/>
        <v>149649.12292598677</v>
      </c>
      <c r="I22" s="808">
        <f t="shared" si="1"/>
        <v>19330.532928687946</v>
      </c>
      <c r="J22" s="808">
        <f t="shared" si="1"/>
        <v>0</v>
      </c>
      <c r="K22" s="808">
        <f t="shared" si="1"/>
        <v>0</v>
      </c>
      <c r="L22" s="808">
        <f t="shared" si="1"/>
        <v>0</v>
      </c>
      <c r="M22" s="808">
        <f t="shared" si="1"/>
        <v>0</v>
      </c>
      <c r="N22" s="808">
        <f t="shared" si="1"/>
        <v>7634.0233723715419</v>
      </c>
      <c r="O22" s="808">
        <f t="shared" si="1"/>
        <v>0</v>
      </c>
      <c r="P22" s="808">
        <f t="shared" si="1"/>
        <v>0</v>
      </c>
      <c r="Q22" s="808">
        <f t="shared" si="1"/>
        <v>0</v>
      </c>
      <c r="R22" s="808">
        <f t="shared" si="1"/>
        <v>177082.68101615668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2561.527</v>
      </c>
      <c r="D24" s="690">
        <f>+landbouw!C8</f>
        <v>57.160714285714278</v>
      </c>
      <c r="E24" s="690">
        <f>+landbouw!D8</f>
        <v>1484.6018000000001</v>
      </c>
      <c r="F24" s="690">
        <f>+landbouw!E8</f>
        <v>32.278540117717178</v>
      </c>
      <c r="G24" s="690">
        <f>+landbouw!F8</f>
        <v>8837.9098508566985</v>
      </c>
      <c r="H24" s="690">
        <f>+landbouw!G8</f>
        <v>0</v>
      </c>
      <c r="I24" s="690">
        <f>+landbouw!H8</f>
        <v>0</v>
      </c>
      <c r="J24" s="690">
        <f>+landbouw!I8</f>
        <v>0</v>
      </c>
      <c r="K24" s="690">
        <f>+landbouw!J8</f>
        <v>385.22454238874838</v>
      </c>
      <c r="L24" s="690">
        <f>+landbouw!K8</f>
        <v>0</v>
      </c>
      <c r="M24" s="690">
        <f>+landbouw!L8</f>
        <v>0</v>
      </c>
      <c r="N24" s="690">
        <f>+landbouw!M8</f>
        <v>0</v>
      </c>
      <c r="O24" s="690">
        <f>+landbouw!N8</f>
        <v>0</v>
      </c>
      <c r="P24" s="690">
        <f>+landbouw!O8</f>
        <v>0</v>
      </c>
      <c r="Q24" s="691">
        <f>+landbouw!P8</f>
        <v>0</v>
      </c>
      <c r="R24" s="693">
        <f>SUM(C24:Q24)</f>
        <v>13358.702447648879</v>
      </c>
      <c r="S24" s="67"/>
    </row>
    <row r="25" spans="1:19" s="458" customFormat="1" ht="15" thickBot="1">
      <c r="A25" s="827" t="s">
        <v>872</v>
      </c>
      <c r="B25" s="1004"/>
      <c r="C25" s="1005">
        <f>IF(Onbekend_ele_kWh="---",0,Onbekend_ele_kWh)/1000+IF(REST_rest_ele_kWh="---",0,REST_rest_ele_kWh)/1000</f>
        <v>561.13699999999994</v>
      </c>
      <c r="D25" s="1005"/>
      <c r="E25" s="1005">
        <f>IF(onbekend_gas_kWh="---",0,onbekend_gas_kWh)/1000+IF(REST_rest_gas_kWh="---",0,REST_rest_gas_kWh)/1000</f>
        <v>3027.2550000000001</v>
      </c>
      <c r="F25" s="1005"/>
      <c r="G25" s="1005"/>
      <c r="H25" s="1005"/>
      <c r="I25" s="1005"/>
      <c r="J25" s="1005"/>
      <c r="K25" s="1005"/>
      <c r="L25" s="1005"/>
      <c r="M25" s="1005"/>
      <c r="N25" s="1005"/>
      <c r="O25" s="1005"/>
      <c r="P25" s="1005"/>
      <c r="Q25" s="1006"/>
      <c r="R25" s="693">
        <f>SUM(C25:Q25)</f>
        <v>3588.3919999999998</v>
      </c>
      <c r="S25" s="67"/>
    </row>
    <row r="26" spans="1:19" s="458" customFormat="1" ht="15.75" thickBot="1">
      <c r="A26" s="698" t="s">
        <v>873</v>
      </c>
      <c r="B26" s="813"/>
      <c r="C26" s="808">
        <f>SUM(C24:C25)</f>
        <v>3122.6639999999998</v>
      </c>
      <c r="D26" s="808">
        <f t="shared" ref="D26:R26" si="2">SUM(D24:D25)</f>
        <v>57.160714285714278</v>
      </c>
      <c r="E26" s="808">
        <f t="shared" si="2"/>
        <v>4511.8568000000005</v>
      </c>
      <c r="F26" s="808">
        <f t="shared" si="2"/>
        <v>32.278540117717178</v>
      </c>
      <c r="G26" s="808">
        <f t="shared" si="2"/>
        <v>8837.9098508566985</v>
      </c>
      <c r="H26" s="808">
        <f t="shared" si="2"/>
        <v>0</v>
      </c>
      <c r="I26" s="808">
        <f t="shared" si="2"/>
        <v>0</v>
      </c>
      <c r="J26" s="808">
        <f t="shared" si="2"/>
        <v>0</v>
      </c>
      <c r="K26" s="808">
        <f t="shared" si="2"/>
        <v>385.22454238874838</v>
      </c>
      <c r="L26" s="808">
        <f t="shared" si="2"/>
        <v>0</v>
      </c>
      <c r="M26" s="808">
        <f t="shared" si="2"/>
        <v>0</v>
      </c>
      <c r="N26" s="808">
        <f t="shared" si="2"/>
        <v>0</v>
      </c>
      <c r="O26" s="808">
        <f t="shared" si="2"/>
        <v>0</v>
      </c>
      <c r="P26" s="808">
        <f t="shared" si="2"/>
        <v>0</v>
      </c>
      <c r="Q26" s="808">
        <f t="shared" si="2"/>
        <v>0</v>
      </c>
      <c r="R26" s="808">
        <f t="shared" si="2"/>
        <v>16947.09444764888</v>
      </c>
      <c r="S26" s="67"/>
    </row>
    <row r="27" spans="1:19" s="458" customFormat="1" ht="17.25" thickTop="1" thickBot="1">
      <c r="A27" s="699" t="s">
        <v>116</v>
      </c>
      <c r="B27" s="800"/>
      <c r="C27" s="700">
        <f ca="1">C22+C16+C26</f>
        <v>42953.818916802826</v>
      </c>
      <c r="D27" s="700">
        <f t="shared" ref="D27:R27" ca="1" si="3">D22+D16+D26</f>
        <v>769.66071428571422</v>
      </c>
      <c r="E27" s="700">
        <f t="shared" ca="1" si="3"/>
        <v>74267.24546270752</v>
      </c>
      <c r="F27" s="700">
        <f t="shared" si="3"/>
        <v>3966.5021586925313</v>
      </c>
      <c r="G27" s="700">
        <f t="shared" ca="1" si="3"/>
        <v>14005.134468918375</v>
      </c>
      <c r="H27" s="700">
        <f t="shared" si="3"/>
        <v>149649.12292598677</v>
      </c>
      <c r="I27" s="700">
        <f t="shared" si="3"/>
        <v>19330.532928687946</v>
      </c>
      <c r="J27" s="700">
        <f t="shared" si="3"/>
        <v>0</v>
      </c>
      <c r="K27" s="700">
        <f t="shared" si="3"/>
        <v>1741.5605420254228</v>
      </c>
      <c r="L27" s="700">
        <f t="shared" si="3"/>
        <v>0</v>
      </c>
      <c r="M27" s="700">
        <f t="shared" ca="1" si="3"/>
        <v>0</v>
      </c>
      <c r="N27" s="700">
        <f t="shared" si="3"/>
        <v>7634.0233723715419</v>
      </c>
      <c r="O27" s="700">
        <f t="shared" ca="1" si="3"/>
        <v>18729.769656807854</v>
      </c>
      <c r="P27" s="700">
        <f t="shared" si="3"/>
        <v>211.05000000000004</v>
      </c>
      <c r="Q27" s="700">
        <f t="shared" si="3"/>
        <v>171.6</v>
      </c>
      <c r="R27" s="700">
        <f t="shared" ca="1" si="3"/>
        <v>333430.02114728652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802.10658407124549</v>
      </c>
      <c r="D40" s="690">
        <f ca="1">tertiair!C20</f>
        <v>0</v>
      </c>
      <c r="E40" s="690">
        <f ca="1">tertiair!D20</f>
        <v>2386.3314363240002</v>
      </c>
      <c r="F40" s="690">
        <f>tertiair!E20</f>
        <v>29.816890500698765</v>
      </c>
      <c r="G40" s="690">
        <f ca="1">tertiair!F20</f>
        <v>655.80522345883264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3874.0601343547769</v>
      </c>
    </row>
    <row r="41" spans="1:18">
      <c r="A41" s="818" t="s">
        <v>225</v>
      </c>
      <c r="B41" s="825"/>
      <c r="C41" s="690">
        <f ca="1">huishoudens!B12</f>
        <v>1340.5917375480849</v>
      </c>
      <c r="D41" s="690">
        <f ca="1">huishoudens!C12</f>
        <v>0</v>
      </c>
      <c r="E41" s="690">
        <f>huishoudens!D12</f>
        <v>10546.868700984001</v>
      </c>
      <c r="F41" s="690">
        <f>huishoudens!E12</f>
        <v>587.86820642812108</v>
      </c>
      <c r="G41" s="690">
        <f>huishoudens!F12</f>
        <v>0</v>
      </c>
      <c r="H41" s="690">
        <f>huishoudens!G12</f>
        <v>0</v>
      </c>
      <c r="I41" s="690">
        <f>huishoudens!H12</f>
        <v>0</v>
      </c>
      <c r="J41" s="690">
        <f>huishoudens!I12</f>
        <v>0</v>
      </c>
      <c r="K41" s="690">
        <f>huishoudens!J12</f>
        <v>478.14003855933822</v>
      </c>
      <c r="L41" s="690">
        <f>huishoudens!K12</f>
        <v>0</v>
      </c>
      <c r="M41" s="690">
        <f>huishoudens!L12</f>
        <v>0</v>
      </c>
      <c r="N41" s="690">
        <f>huishoudens!M12</f>
        <v>0</v>
      </c>
      <c r="O41" s="690">
        <f>huishoudens!N12</f>
        <v>0</v>
      </c>
      <c r="P41" s="690">
        <f>huishoudens!O12</f>
        <v>0</v>
      </c>
      <c r="Q41" s="767">
        <f>huishoudens!P12</f>
        <v>0</v>
      </c>
      <c r="R41" s="846">
        <f t="shared" ca="1" si="4"/>
        <v>12953.468683519544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297.8749959301104</v>
      </c>
      <c r="D43" s="690">
        <f ca="1">industrie!C22</f>
        <v>0</v>
      </c>
      <c r="E43" s="690">
        <f>industrie!D22</f>
        <v>1154.8665284640001</v>
      </c>
      <c r="F43" s="690">
        <f>industrie!E22</f>
        <v>173.61740898645039</v>
      </c>
      <c r="G43" s="690">
        <f>industrie!F22</f>
        <v>723.84374956363501</v>
      </c>
      <c r="H43" s="690">
        <f>industrie!G22</f>
        <v>0</v>
      </c>
      <c r="I43" s="690">
        <f>industrie!H22</f>
        <v>0</v>
      </c>
      <c r="J43" s="690">
        <f>industrie!I22</f>
        <v>0</v>
      </c>
      <c r="K43" s="690">
        <f>industrie!J22</f>
        <v>2.0029053120444984</v>
      </c>
      <c r="L43" s="690">
        <f>industrie!K22</f>
        <v>0</v>
      </c>
      <c r="M43" s="690">
        <f>industrie!L22</f>
        <v>0</v>
      </c>
      <c r="N43" s="690">
        <f>industrie!M22</f>
        <v>0</v>
      </c>
      <c r="O43" s="690">
        <f>industrie!N22</f>
        <v>0</v>
      </c>
      <c r="P43" s="690">
        <f>industrie!O22</f>
        <v>0</v>
      </c>
      <c r="Q43" s="767">
        <f>industrie!P22</f>
        <v>0</v>
      </c>
      <c r="R43" s="845">
        <f t="shared" ca="1" si="4"/>
        <v>2352.2055882562399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2440.5733175494406</v>
      </c>
      <c r="D46" s="725">
        <f t="shared" ref="D46:Q46" ca="1" si="5">SUM(D39:D45)</f>
        <v>0</v>
      </c>
      <c r="E46" s="725">
        <f t="shared" ca="1" si="5"/>
        <v>14088.066665772003</v>
      </c>
      <c r="F46" s="725">
        <f t="shared" si="5"/>
        <v>791.30250591527022</v>
      </c>
      <c r="G46" s="725">
        <f t="shared" ca="1" si="5"/>
        <v>1379.6489730224675</v>
      </c>
      <c r="H46" s="725">
        <f t="shared" si="5"/>
        <v>0</v>
      </c>
      <c r="I46" s="725">
        <f t="shared" si="5"/>
        <v>0</v>
      </c>
      <c r="J46" s="725">
        <f t="shared" si="5"/>
        <v>0</v>
      </c>
      <c r="K46" s="725">
        <f t="shared" si="5"/>
        <v>480.14294387138273</v>
      </c>
      <c r="L46" s="725">
        <f t="shared" si="5"/>
        <v>0</v>
      </c>
      <c r="M46" s="725">
        <f t="shared" ca="1" si="5"/>
        <v>0</v>
      </c>
      <c r="N46" s="725">
        <f t="shared" si="5"/>
        <v>0</v>
      </c>
      <c r="O46" s="725">
        <f t="shared" ca="1" si="5"/>
        <v>0</v>
      </c>
      <c r="P46" s="725">
        <f t="shared" si="5"/>
        <v>0</v>
      </c>
      <c r="Q46" s="725">
        <f t="shared" si="5"/>
        <v>0</v>
      </c>
      <c r="R46" s="725">
        <f ca="1">SUM(R39:R45)</f>
        <v>19179.734406130563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367.23516579652045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367.23516579652045</v>
      </c>
    </row>
    <row r="50" spans="1:18">
      <c r="A50" s="821" t="s">
        <v>307</v>
      </c>
      <c r="B50" s="831"/>
      <c r="C50" s="696">
        <f ca="1">transport!B18</f>
        <v>0.50302713010309807</v>
      </c>
      <c r="D50" s="696">
        <f>transport!C18</f>
        <v>0</v>
      </c>
      <c r="E50" s="696">
        <f>transport!D18</f>
        <v>2.5218440949204872</v>
      </c>
      <c r="F50" s="696">
        <f>transport!E18</f>
        <v>101.76625550121265</v>
      </c>
      <c r="G50" s="696">
        <f>transport!F18</f>
        <v>0</v>
      </c>
      <c r="H50" s="696">
        <f>transport!G18</f>
        <v>39589.080655441947</v>
      </c>
      <c r="I50" s="696">
        <f>transport!H18</f>
        <v>4813.3026992432988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44507.174481411486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0.50302713010309807</v>
      </c>
      <c r="D52" s="725">
        <f t="shared" ref="D52:Q52" ca="1" si="6">SUM(D48:D51)</f>
        <v>0</v>
      </c>
      <c r="E52" s="725">
        <f t="shared" si="6"/>
        <v>2.5218440949204872</v>
      </c>
      <c r="F52" s="725">
        <f t="shared" si="6"/>
        <v>101.76625550121265</v>
      </c>
      <c r="G52" s="725">
        <f t="shared" si="6"/>
        <v>0</v>
      </c>
      <c r="H52" s="725">
        <f t="shared" si="6"/>
        <v>39956.315821238466</v>
      </c>
      <c r="I52" s="725">
        <f t="shared" si="6"/>
        <v>4813.3026992432988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44874.409647208005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156.98472662966071</v>
      </c>
      <c r="D54" s="696">
        <f ca="1">+landbouw!C12</f>
        <v>0</v>
      </c>
      <c r="E54" s="696">
        <f>+landbouw!D12</f>
        <v>299.88956360000003</v>
      </c>
      <c r="F54" s="696">
        <f>+landbouw!E12</f>
        <v>7.3272286067217998</v>
      </c>
      <c r="G54" s="696">
        <f>+landbouw!F12</f>
        <v>2359.7219301787386</v>
      </c>
      <c r="H54" s="696">
        <f>+landbouw!G12</f>
        <v>0</v>
      </c>
      <c r="I54" s="696">
        <f>+landbouw!H12</f>
        <v>0</v>
      </c>
      <c r="J54" s="696">
        <f>+landbouw!I12</f>
        <v>0</v>
      </c>
      <c r="K54" s="696">
        <f>+landbouw!J12</f>
        <v>136.36948800561692</v>
      </c>
      <c r="L54" s="696">
        <f>+landbouw!K12</f>
        <v>0</v>
      </c>
      <c r="M54" s="696">
        <f>+landbouw!L12</f>
        <v>0</v>
      </c>
      <c r="N54" s="696">
        <f>+landbouw!M12</f>
        <v>0</v>
      </c>
      <c r="O54" s="696">
        <f>+landbouw!N12</f>
        <v>0</v>
      </c>
      <c r="P54" s="696">
        <f>+landbouw!O12</f>
        <v>0</v>
      </c>
      <c r="Q54" s="697">
        <f>+landbouw!P12</f>
        <v>0</v>
      </c>
      <c r="R54" s="724">
        <f ca="1">SUM(C54:Q54)</f>
        <v>2960.292937020738</v>
      </c>
    </row>
    <row r="55" spans="1:18" ht="15" thickBot="1">
      <c r="A55" s="821" t="s">
        <v>872</v>
      </c>
      <c r="B55" s="831"/>
      <c r="C55" s="696">
        <f ca="1">C25*'EF ele_warmte'!B12</f>
        <v>34.389619374220104</v>
      </c>
      <c r="D55" s="696"/>
      <c r="E55" s="696">
        <f>E25*EF_CO2_aardgas</f>
        <v>611.50551000000007</v>
      </c>
      <c r="F55" s="696"/>
      <c r="G55" s="696"/>
      <c r="H55" s="696"/>
      <c r="I55" s="696"/>
      <c r="J55" s="696"/>
      <c r="K55" s="696"/>
      <c r="L55" s="696"/>
      <c r="M55" s="696"/>
      <c r="N55" s="696"/>
      <c r="O55" s="696"/>
      <c r="P55" s="696"/>
      <c r="Q55" s="697"/>
      <c r="R55" s="724">
        <f ca="1">SUM(C55:Q55)</f>
        <v>645.89512937422023</v>
      </c>
    </row>
    <row r="56" spans="1:18" ht="15.75" thickBot="1">
      <c r="A56" s="819" t="s">
        <v>873</v>
      </c>
      <c r="B56" s="832"/>
      <c r="C56" s="725">
        <f ca="1">SUM(C54:C55)</f>
        <v>191.37434600388082</v>
      </c>
      <c r="D56" s="725">
        <f t="shared" ref="D56:Q56" ca="1" si="7">SUM(D54:D55)</f>
        <v>0</v>
      </c>
      <c r="E56" s="725">
        <f t="shared" si="7"/>
        <v>911.39507360000016</v>
      </c>
      <c r="F56" s="725">
        <f t="shared" si="7"/>
        <v>7.3272286067217998</v>
      </c>
      <c r="G56" s="725">
        <f t="shared" si="7"/>
        <v>2359.7219301787386</v>
      </c>
      <c r="H56" s="725">
        <f t="shared" si="7"/>
        <v>0</v>
      </c>
      <c r="I56" s="725">
        <f t="shared" si="7"/>
        <v>0</v>
      </c>
      <c r="J56" s="725">
        <f t="shared" si="7"/>
        <v>0</v>
      </c>
      <c r="K56" s="725">
        <f t="shared" si="7"/>
        <v>136.36948800561692</v>
      </c>
      <c r="L56" s="725">
        <f t="shared" si="7"/>
        <v>0</v>
      </c>
      <c r="M56" s="725">
        <f t="shared" si="7"/>
        <v>0</v>
      </c>
      <c r="N56" s="725">
        <f t="shared" si="7"/>
        <v>0</v>
      </c>
      <c r="O56" s="725">
        <f t="shared" si="7"/>
        <v>0</v>
      </c>
      <c r="P56" s="725">
        <f t="shared" si="7"/>
        <v>0</v>
      </c>
      <c r="Q56" s="726">
        <f t="shared" si="7"/>
        <v>0</v>
      </c>
      <c r="R56" s="727">
        <f ca="1">SUM(R54:R55)</f>
        <v>3606.1880663949582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2632.4506906834245</v>
      </c>
      <c r="D61" s="733">
        <f t="shared" ref="D61:Q61" ca="1" si="8">D46+D52+D56</f>
        <v>0</v>
      </c>
      <c r="E61" s="733">
        <f t="shared" ca="1" si="8"/>
        <v>15001.983583466925</v>
      </c>
      <c r="F61" s="733">
        <f t="shared" si="8"/>
        <v>900.3959900232046</v>
      </c>
      <c r="G61" s="733">
        <f t="shared" ca="1" si="8"/>
        <v>3739.3709032012061</v>
      </c>
      <c r="H61" s="733">
        <f t="shared" si="8"/>
        <v>39956.315821238466</v>
      </c>
      <c r="I61" s="733">
        <f t="shared" si="8"/>
        <v>4813.3026992432988</v>
      </c>
      <c r="J61" s="733">
        <f t="shared" si="8"/>
        <v>0</v>
      </c>
      <c r="K61" s="733">
        <f t="shared" si="8"/>
        <v>616.5124318769997</v>
      </c>
      <c r="L61" s="733">
        <f t="shared" si="8"/>
        <v>0</v>
      </c>
      <c r="M61" s="733">
        <f t="shared" ca="1" si="8"/>
        <v>0</v>
      </c>
      <c r="N61" s="733">
        <f t="shared" si="8"/>
        <v>0</v>
      </c>
      <c r="O61" s="733">
        <f t="shared" ca="1" si="8"/>
        <v>0</v>
      </c>
      <c r="P61" s="733">
        <f t="shared" si="8"/>
        <v>0</v>
      </c>
      <c r="Q61" s="733">
        <f t="shared" si="8"/>
        <v>0</v>
      </c>
      <c r="R61" s="733">
        <f ca="1">R46+R52+R56</f>
        <v>67660.332119733532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6.128560293514794E-2</v>
      </c>
      <c r="D63" s="776">
        <f t="shared" ca="1" si="9"/>
        <v>0</v>
      </c>
      <c r="E63" s="1011">
        <f t="shared" ca="1" si="9"/>
        <v>0.20200000000000007</v>
      </c>
      <c r="F63" s="776">
        <f t="shared" si="9"/>
        <v>0.22700000000000001</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25394.132829999999</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4704.3819999999996</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538.76250000000005</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633.83823529411779</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405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1012.5</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31042.277330000001</v>
      </c>
      <c r="C78" s="748">
        <f>SUM(C72:C77)</f>
        <v>0</v>
      </c>
      <c r="D78" s="749">
        <f t="shared" ref="D78:H78" si="10">SUM(D76:D77)</f>
        <v>0</v>
      </c>
      <c r="E78" s="749">
        <f t="shared" si="10"/>
        <v>0</v>
      </c>
      <c r="F78" s="749">
        <f t="shared" si="10"/>
        <v>0</v>
      </c>
      <c r="G78" s="749">
        <f t="shared" si="10"/>
        <v>0</v>
      </c>
      <c r="H78" s="749">
        <f t="shared" si="10"/>
        <v>0</v>
      </c>
      <c r="I78" s="749">
        <f>SUM(I76:I77)</f>
        <v>1012.5</v>
      </c>
      <c r="J78" s="749">
        <f>SUM(J76:J77)</f>
        <v>633.83823529411779</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769.66071428571422</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905.48319327731087</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769.66071428571422</v>
      </c>
      <c r="C90" s="748">
        <f>SUM(C87:C89)</f>
        <v>0</v>
      </c>
      <c r="D90" s="748">
        <f t="shared" ref="D90:H90" si="12">SUM(D87:D89)</f>
        <v>0</v>
      </c>
      <c r="E90" s="748">
        <f t="shared" si="12"/>
        <v>0</v>
      </c>
      <c r="F90" s="748">
        <f t="shared" si="12"/>
        <v>0</v>
      </c>
      <c r="G90" s="748">
        <f t="shared" si="12"/>
        <v>0</v>
      </c>
      <c r="H90" s="748">
        <f t="shared" si="12"/>
        <v>0</v>
      </c>
      <c r="I90" s="748">
        <f>SUM(I87:I89)</f>
        <v>0</v>
      </c>
      <c r="J90" s="748">
        <f>SUM(J87:J89)</f>
        <v>905.48319327731087</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25394.132829999999</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4704.3819999999996</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538.76250000000005</v>
      </c>
      <c r="C8" s="560">
        <f>B101</f>
        <v>0</v>
      </c>
      <c r="D8" s="1028"/>
      <c r="E8" s="1028">
        <f>E101</f>
        <v>0</v>
      </c>
      <c r="F8" s="1029"/>
      <c r="G8" s="561"/>
      <c r="H8" s="1028">
        <f>I101</f>
        <v>0</v>
      </c>
      <c r="I8" s="1028">
        <f>G101+F101</f>
        <v>0</v>
      </c>
      <c r="J8" s="1028">
        <f>H101+D101+C101</f>
        <v>633.83823529411779</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405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31042.277330000001</v>
      </c>
      <c r="C10" s="573">
        <f t="shared" ref="C10:L10" si="0">SUM(C8:C9)</f>
        <v>0</v>
      </c>
      <c r="D10" s="573">
        <f t="shared" si="0"/>
        <v>0</v>
      </c>
      <c r="E10" s="573">
        <f t="shared" si="0"/>
        <v>0</v>
      </c>
      <c r="F10" s="573">
        <f t="shared" si="0"/>
        <v>0</v>
      </c>
      <c r="G10" s="573">
        <f t="shared" si="0"/>
        <v>0</v>
      </c>
      <c r="H10" s="573">
        <f t="shared" si="0"/>
        <v>0</v>
      </c>
      <c r="I10" s="573">
        <f t="shared" si="0"/>
        <v>1012.5</v>
      </c>
      <c r="J10" s="573">
        <f t="shared" si="0"/>
        <v>633.83823529411779</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769.66071428571422</v>
      </c>
      <c r="C17" s="585">
        <f>B102</f>
        <v>0</v>
      </c>
      <c r="D17" s="586"/>
      <c r="E17" s="586">
        <f>E102</f>
        <v>0</v>
      </c>
      <c r="F17" s="1034"/>
      <c r="G17" s="587"/>
      <c r="H17" s="585">
        <f>I102</f>
        <v>0</v>
      </c>
      <c r="I17" s="586">
        <f>G102+F102</f>
        <v>0</v>
      </c>
      <c r="J17" s="586">
        <f>H102+D102+C102</f>
        <v>905.48319327731087</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769.66071428571422</v>
      </c>
      <c r="C20" s="572">
        <f>SUM(C17:C19)</f>
        <v>0</v>
      </c>
      <c r="D20" s="572">
        <f t="shared" ref="D20:L20" si="1">SUM(D17:D19)</f>
        <v>0</v>
      </c>
      <c r="E20" s="572">
        <f t="shared" si="1"/>
        <v>0</v>
      </c>
      <c r="F20" s="572">
        <f t="shared" si="1"/>
        <v>0</v>
      </c>
      <c r="G20" s="572">
        <f t="shared" si="1"/>
        <v>0</v>
      </c>
      <c r="H20" s="572">
        <f t="shared" si="1"/>
        <v>0</v>
      </c>
      <c r="I20" s="572">
        <f t="shared" si="1"/>
        <v>0</v>
      </c>
      <c r="J20" s="572">
        <f t="shared" si="1"/>
        <v>905.48319327731087</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35005</v>
      </c>
      <c r="C28" s="791">
        <v>8470</v>
      </c>
      <c r="D28" s="644" t="s">
        <v>913</v>
      </c>
      <c r="E28" s="643" t="s">
        <v>914</v>
      </c>
      <c r="F28" s="643" t="s">
        <v>915</v>
      </c>
      <c r="G28" s="643" t="s">
        <v>916</v>
      </c>
      <c r="H28" s="643" t="s">
        <v>917</v>
      </c>
      <c r="I28" s="643" t="s">
        <v>914</v>
      </c>
      <c r="J28" s="790">
        <v>41117</v>
      </c>
      <c r="K28" s="790">
        <v>41275</v>
      </c>
      <c r="L28" s="643" t="s">
        <v>918</v>
      </c>
      <c r="M28" s="643">
        <v>9.6999999999999993</v>
      </c>
      <c r="N28" s="643">
        <v>40.012499999999996</v>
      </c>
      <c r="O28" s="643">
        <v>57.160714285714278</v>
      </c>
      <c r="P28" s="643">
        <v>0</v>
      </c>
      <c r="Q28" s="643">
        <v>114.32142857142857</v>
      </c>
      <c r="R28" s="643">
        <v>0</v>
      </c>
      <c r="S28" s="643">
        <v>0</v>
      </c>
      <c r="T28" s="643">
        <v>0</v>
      </c>
      <c r="U28" s="643">
        <v>0</v>
      </c>
      <c r="V28" s="643">
        <v>0</v>
      </c>
      <c r="W28" s="643">
        <v>0</v>
      </c>
      <c r="X28" s="643">
        <v>10</v>
      </c>
      <c r="Y28" s="643" t="s">
        <v>112</v>
      </c>
      <c r="Z28" s="645" t="s">
        <v>112</v>
      </c>
    </row>
    <row r="29" spans="1:26" s="597" customFormat="1" ht="25.5">
      <c r="A29" s="596"/>
      <c r="B29" s="791">
        <v>35005</v>
      </c>
      <c r="C29" s="791">
        <v>8470</v>
      </c>
      <c r="D29" s="644" t="s">
        <v>919</v>
      </c>
      <c r="E29" s="643" t="s">
        <v>920</v>
      </c>
      <c r="F29" s="643" t="s">
        <v>921</v>
      </c>
      <c r="G29" s="643" t="s">
        <v>916</v>
      </c>
      <c r="H29" s="643" t="s">
        <v>917</v>
      </c>
      <c r="I29" s="643" t="s">
        <v>922</v>
      </c>
      <c r="J29" s="790">
        <v>41400</v>
      </c>
      <c r="K29" s="790">
        <v>41400</v>
      </c>
      <c r="L29" s="643" t="s">
        <v>918</v>
      </c>
      <c r="M29" s="643">
        <v>190</v>
      </c>
      <c r="N29" s="643">
        <v>498.75</v>
      </c>
      <c r="O29" s="643">
        <v>712.5</v>
      </c>
      <c r="P29" s="643">
        <v>0</v>
      </c>
      <c r="Q29" s="643">
        <v>1425</v>
      </c>
      <c r="R29" s="643">
        <v>0</v>
      </c>
      <c r="S29" s="643">
        <v>0</v>
      </c>
      <c r="T29" s="643">
        <v>0</v>
      </c>
      <c r="U29" s="643">
        <v>0</v>
      </c>
      <c r="V29" s="643">
        <v>0</v>
      </c>
      <c r="W29" s="643">
        <v>0</v>
      </c>
      <c r="X29" s="643">
        <v>1600</v>
      </c>
      <c r="Y29" s="643" t="s">
        <v>54</v>
      </c>
      <c r="Z29" s="645" t="s">
        <v>156</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199.7</v>
      </c>
      <c r="N58" s="601">
        <f>SUM(N28:N57)</f>
        <v>538.76250000000005</v>
      </c>
      <c r="O58" s="601">
        <f t="shared" ref="O58:W58" si="2">SUM(O28:O57)</f>
        <v>769.66071428571422</v>
      </c>
      <c r="P58" s="601">
        <f t="shared" si="2"/>
        <v>0</v>
      </c>
      <c r="Q58" s="601">
        <f t="shared" si="2"/>
        <v>1539.3214285714287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190</v>
      </c>
      <c r="N60" s="601">
        <f ca="1">SUMIF($Z$28:AD57,"tertiair",N28:N57)</f>
        <v>498.75</v>
      </c>
      <c r="O60" s="601">
        <f ca="1">SUMIF($Z$28:AE57,"tertiair",O28:O57)</f>
        <v>712.5</v>
      </c>
      <c r="P60" s="601">
        <f ca="1">SUMIF($Z$28:AF57,"tertiair",P28:P57)</f>
        <v>0</v>
      </c>
      <c r="Q60" s="601">
        <f ca="1">SUMIF($Z$28:AG57,"tertiair",Q28:Q57)</f>
        <v>1425</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40.012499999999996</v>
      </c>
      <c r="O61" s="606">
        <f t="shared" si="4"/>
        <v>57.160714285714278</v>
      </c>
      <c r="P61" s="606">
        <f t="shared" si="4"/>
        <v>0</v>
      </c>
      <c r="Q61" s="606">
        <f t="shared" si="4"/>
        <v>114.32142857142857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38.25">
      <c r="A64" s="598"/>
      <c r="B64" s="791">
        <v>35005</v>
      </c>
      <c r="C64" s="791">
        <v>8470</v>
      </c>
      <c r="D64" s="646" t="s">
        <v>923</v>
      </c>
      <c r="E64" s="646" t="s">
        <v>924</v>
      </c>
      <c r="F64" s="646" t="s">
        <v>925</v>
      </c>
      <c r="G64" s="646" t="s">
        <v>926</v>
      </c>
      <c r="H64" s="646" t="s">
        <v>927</v>
      </c>
      <c r="I64" s="646" t="s">
        <v>924</v>
      </c>
      <c r="J64" s="790">
        <v>38944</v>
      </c>
      <c r="K64" s="790">
        <v>39239</v>
      </c>
      <c r="L64" s="646" t="s">
        <v>918</v>
      </c>
      <c r="M64" s="646">
        <v>90</v>
      </c>
      <c r="N64" s="646">
        <v>405</v>
      </c>
      <c r="O64" s="646">
        <v>0</v>
      </c>
      <c r="P64" s="646">
        <v>0</v>
      </c>
      <c r="Q64" s="646">
        <v>0</v>
      </c>
      <c r="R64" s="646">
        <v>0</v>
      </c>
      <c r="S64" s="646">
        <v>0</v>
      </c>
      <c r="T64" s="646">
        <v>0</v>
      </c>
      <c r="U64" s="646">
        <v>1012.5</v>
      </c>
      <c r="V64" s="646">
        <v>0</v>
      </c>
      <c r="W64" s="646">
        <v>0</v>
      </c>
      <c r="X64" s="646">
        <v>10</v>
      </c>
      <c r="Y64" s="646" t="s">
        <v>112</v>
      </c>
      <c r="Z64" s="647" t="s">
        <v>112</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90</v>
      </c>
      <c r="N89" s="601">
        <f t="shared" ref="N89:W89" si="5">SUM(N64:N88)</f>
        <v>405</v>
      </c>
      <c r="O89" s="601">
        <f t="shared" si="5"/>
        <v>0</v>
      </c>
      <c r="P89" s="601">
        <f t="shared" si="5"/>
        <v>0</v>
      </c>
      <c r="Q89" s="601">
        <f t="shared" si="5"/>
        <v>0</v>
      </c>
      <c r="R89" s="601">
        <f t="shared" si="5"/>
        <v>0</v>
      </c>
      <c r="S89" s="601">
        <f t="shared" si="5"/>
        <v>0</v>
      </c>
      <c r="T89" s="601">
        <f t="shared" si="5"/>
        <v>0</v>
      </c>
      <c r="U89" s="601">
        <f t="shared" si="5"/>
        <v>1012.5</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90</v>
      </c>
      <c r="N92" s="606">
        <f t="shared" si="8"/>
        <v>405</v>
      </c>
      <c r="O92" s="606">
        <f t="shared" si="8"/>
        <v>0</v>
      </c>
      <c r="P92" s="606">
        <f t="shared" si="8"/>
        <v>0</v>
      </c>
      <c r="Q92" s="606">
        <f t="shared" si="8"/>
        <v>0</v>
      </c>
      <c r="R92" s="606">
        <f t="shared" si="8"/>
        <v>0</v>
      </c>
      <c r="S92" s="606">
        <f t="shared" si="8"/>
        <v>0</v>
      </c>
      <c r="T92" s="606">
        <f t="shared" si="8"/>
        <v>0</v>
      </c>
      <c r="U92" s="606">
        <f t="shared" si="8"/>
        <v>1012.5</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0.58823529411764697</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633.83823529411779</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905.48319327731087</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21874.497000000003</v>
      </c>
      <c r="C4" s="462">
        <f>huishoudens!C8</f>
        <v>0</v>
      </c>
      <c r="D4" s="462">
        <f>huishoudens!D8</f>
        <v>52212.221292000002</v>
      </c>
      <c r="E4" s="462">
        <f>huishoudens!E8</f>
        <v>2589.7277816216788</v>
      </c>
      <c r="F4" s="462">
        <f>huishoudens!F8</f>
        <v>0</v>
      </c>
      <c r="G4" s="462">
        <f>huishoudens!G8</f>
        <v>0</v>
      </c>
      <c r="H4" s="462">
        <f>huishoudens!H8</f>
        <v>0</v>
      </c>
      <c r="I4" s="462">
        <f>huishoudens!I8</f>
        <v>0</v>
      </c>
      <c r="J4" s="462">
        <f>huishoudens!J8</f>
        <v>1350.6780750263792</v>
      </c>
      <c r="K4" s="462">
        <f>huishoudens!K8</f>
        <v>0</v>
      </c>
      <c r="L4" s="462">
        <f>huishoudens!L8</f>
        <v>0</v>
      </c>
      <c r="M4" s="462">
        <f>huishoudens!M8</f>
        <v>0</v>
      </c>
      <c r="N4" s="462">
        <f>huishoudens!N8</f>
        <v>16643.488061698052</v>
      </c>
      <c r="O4" s="462">
        <f>huishoudens!O8</f>
        <v>209.48666666666671</v>
      </c>
      <c r="P4" s="463">
        <f>huishoudens!P8</f>
        <v>152.53333333333333</v>
      </c>
      <c r="Q4" s="464">
        <f>SUM(B4:P4)</f>
        <v>95032.632210346128</v>
      </c>
    </row>
    <row r="5" spans="1:17">
      <c r="A5" s="461" t="s">
        <v>156</v>
      </c>
      <c r="B5" s="462">
        <f ca="1">tertiair!B16</f>
        <v>12035.369999999999</v>
      </c>
      <c r="C5" s="462">
        <f ca="1">tertiair!C16</f>
        <v>712.5</v>
      </c>
      <c r="D5" s="462">
        <f ca="1">tertiair!D16</f>
        <v>11813.521962000001</v>
      </c>
      <c r="E5" s="462">
        <f>tertiair!E16</f>
        <v>131.35194053171261</v>
      </c>
      <c r="F5" s="462">
        <f ca="1">tertiair!F16</f>
        <v>2456.1993387971261</v>
      </c>
      <c r="G5" s="462">
        <f>tertiair!G16</f>
        <v>0</v>
      </c>
      <c r="H5" s="462">
        <f>tertiair!H16</f>
        <v>0</v>
      </c>
      <c r="I5" s="462">
        <f>tertiair!I16</f>
        <v>0</v>
      </c>
      <c r="J5" s="462">
        <f>tertiair!J16</f>
        <v>0</v>
      </c>
      <c r="K5" s="462">
        <f>tertiair!K16</f>
        <v>0</v>
      </c>
      <c r="L5" s="462">
        <f ca="1">tertiair!L16</f>
        <v>0</v>
      </c>
      <c r="M5" s="462">
        <f>tertiair!M16</f>
        <v>0</v>
      </c>
      <c r="N5" s="462">
        <f ca="1">tertiair!N16</f>
        <v>545.09712190590835</v>
      </c>
      <c r="O5" s="462">
        <f>tertiair!O16</f>
        <v>1.5633333333333335</v>
      </c>
      <c r="P5" s="463">
        <f>tertiair!P16</f>
        <v>19.066666666666666</v>
      </c>
      <c r="Q5" s="461">
        <f t="shared" ref="Q5:Q14" ca="1" si="0">SUM(B5:P5)</f>
        <v>27714.670363234749</v>
      </c>
    </row>
    <row r="6" spans="1:17">
      <c r="A6" s="461" t="s">
        <v>194</v>
      </c>
      <c r="B6" s="462">
        <f>'openbare verlichting'!B8</f>
        <v>1052.6400000000001</v>
      </c>
      <c r="C6" s="462"/>
      <c r="D6" s="462"/>
      <c r="E6" s="462"/>
      <c r="F6" s="462"/>
      <c r="G6" s="462"/>
      <c r="H6" s="462"/>
      <c r="I6" s="462"/>
      <c r="J6" s="462"/>
      <c r="K6" s="462"/>
      <c r="L6" s="462"/>
      <c r="M6" s="462"/>
      <c r="N6" s="462"/>
      <c r="O6" s="462"/>
      <c r="P6" s="463"/>
      <c r="Q6" s="461">
        <f t="shared" si="0"/>
        <v>1052.6400000000001</v>
      </c>
    </row>
    <row r="7" spans="1:17">
      <c r="A7" s="461" t="s">
        <v>112</v>
      </c>
      <c r="B7" s="462">
        <f>landbouw!B8</f>
        <v>2561.527</v>
      </c>
      <c r="C7" s="462">
        <f>landbouw!C8</f>
        <v>57.160714285714278</v>
      </c>
      <c r="D7" s="462">
        <f>landbouw!D8</f>
        <v>1484.6018000000001</v>
      </c>
      <c r="E7" s="462">
        <f>landbouw!E8</f>
        <v>32.278540117717178</v>
      </c>
      <c r="F7" s="462">
        <f>landbouw!F8</f>
        <v>8837.9098508566985</v>
      </c>
      <c r="G7" s="462">
        <f>landbouw!G8</f>
        <v>0</v>
      </c>
      <c r="H7" s="462">
        <f>landbouw!H8</f>
        <v>0</v>
      </c>
      <c r="I7" s="462">
        <f>landbouw!I8</f>
        <v>0</v>
      </c>
      <c r="J7" s="462">
        <f>landbouw!J8</f>
        <v>385.22454238874838</v>
      </c>
      <c r="K7" s="462">
        <f>landbouw!K8</f>
        <v>0</v>
      </c>
      <c r="L7" s="462">
        <f>landbouw!L8</f>
        <v>0</v>
      </c>
      <c r="M7" s="462">
        <f>landbouw!M8</f>
        <v>0</v>
      </c>
      <c r="N7" s="462">
        <f>landbouw!N8</f>
        <v>0</v>
      </c>
      <c r="O7" s="462">
        <f>landbouw!O8</f>
        <v>0</v>
      </c>
      <c r="P7" s="463">
        <f>landbouw!P8</f>
        <v>0</v>
      </c>
      <c r="Q7" s="461">
        <f t="shared" si="0"/>
        <v>13358.702447648879</v>
      </c>
    </row>
    <row r="8" spans="1:17">
      <c r="A8" s="461" t="s">
        <v>657</v>
      </c>
      <c r="B8" s="462">
        <f>industrie!B18</f>
        <v>4860.4399999999996</v>
      </c>
      <c r="C8" s="462">
        <f>industrie!C18</f>
        <v>0</v>
      </c>
      <c r="D8" s="462">
        <f>industrie!D18</f>
        <v>5717.161032</v>
      </c>
      <c r="E8" s="462">
        <f>industrie!E18</f>
        <v>764.83440082136735</v>
      </c>
      <c r="F8" s="462">
        <f>industrie!F18</f>
        <v>2711.0252792645506</v>
      </c>
      <c r="G8" s="462">
        <f>industrie!G18</f>
        <v>0</v>
      </c>
      <c r="H8" s="462">
        <f>industrie!H18</f>
        <v>0</v>
      </c>
      <c r="I8" s="462">
        <f>industrie!I18</f>
        <v>0</v>
      </c>
      <c r="J8" s="462">
        <f>industrie!J18</f>
        <v>5.6579246102951934</v>
      </c>
      <c r="K8" s="462">
        <f>industrie!K18</f>
        <v>0</v>
      </c>
      <c r="L8" s="462">
        <f>industrie!L18</f>
        <v>0</v>
      </c>
      <c r="M8" s="462">
        <f>industrie!M18</f>
        <v>0</v>
      </c>
      <c r="N8" s="462">
        <f>industrie!N18</f>
        <v>1541.184473203896</v>
      </c>
      <c r="O8" s="462">
        <f>industrie!O18</f>
        <v>0</v>
      </c>
      <c r="P8" s="463">
        <f>industrie!P18</f>
        <v>0</v>
      </c>
      <c r="Q8" s="461">
        <f t="shared" si="0"/>
        <v>15600.303109900109</v>
      </c>
    </row>
    <row r="9" spans="1:17" s="467" customFormat="1">
      <c r="A9" s="465" t="s">
        <v>574</v>
      </c>
      <c r="B9" s="466">
        <f>transport!B14</f>
        <v>8.2079168028321163</v>
      </c>
      <c r="C9" s="466">
        <f>transport!C14</f>
        <v>0</v>
      </c>
      <c r="D9" s="466">
        <f>transport!D14</f>
        <v>12.484376707527163</v>
      </c>
      <c r="E9" s="466">
        <f>transport!E14</f>
        <v>448.30949560005575</v>
      </c>
      <c r="F9" s="466">
        <f>transport!F14</f>
        <v>0</v>
      </c>
      <c r="G9" s="466">
        <f>transport!G14</f>
        <v>148273.71032000729</v>
      </c>
      <c r="H9" s="466">
        <f>transport!H14</f>
        <v>19330.532928687946</v>
      </c>
      <c r="I9" s="466">
        <f>transport!I14</f>
        <v>0</v>
      </c>
      <c r="J9" s="466">
        <f>transport!J14</f>
        <v>0</v>
      </c>
      <c r="K9" s="466">
        <f>transport!K14</f>
        <v>0</v>
      </c>
      <c r="L9" s="466">
        <f>transport!L14</f>
        <v>0</v>
      </c>
      <c r="M9" s="466">
        <f>transport!M14</f>
        <v>7572.8554096394146</v>
      </c>
      <c r="N9" s="466">
        <f>transport!N14</f>
        <v>0</v>
      </c>
      <c r="O9" s="466">
        <f>transport!O14</f>
        <v>0</v>
      </c>
      <c r="P9" s="466">
        <f>transport!P14</f>
        <v>0</v>
      </c>
      <c r="Q9" s="465">
        <f>SUM(B9:P9)</f>
        <v>175646.10044744509</v>
      </c>
    </row>
    <row r="10" spans="1:17">
      <c r="A10" s="461" t="s">
        <v>564</v>
      </c>
      <c r="B10" s="462">
        <f>transport!B54</f>
        <v>0</v>
      </c>
      <c r="C10" s="462">
        <f>transport!C54</f>
        <v>0</v>
      </c>
      <c r="D10" s="462">
        <f>transport!D54</f>
        <v>0</v>
      </c>
      <c r="E10" s="462">
        <f>transport!E54</f>
        <v>0</v>
      </c>
      <c r="F10" s="462">
        <f>transport!F54</f>
        <v>0</v>
      </c>
      <c r="G10" s="462">
        <f>transport!G54</f>
        <v>1375.4126059794773</v>
      </c>
      <c r="H10" s="462">
        <f>transport!H54</f>
        <v>0</v>
      </c>
      <c r="I10" s="462">
        <f>transport!I54</f>
        <v>0</v>
      </c>
      <c r="J10" s="462">
        <f>transport!J54</f>
        <v>0</v>
      </c>
      <c r="K10" s="462">
        <f>transport!K54</f>
        <v>0</v>
      </c>
      <c r="L10" s="462">
        <f>transport!L54</f>
        <v>0</v>
      </c>
      <c r="M10" s="462">
        <f>transport!M54</f>
        <v>61.167962732127357</v>
      </c>
      <c r="N10" s="462">
        <f>transport!N54</f>
        <v>0</v>
      </c>
      <c r="O10" s="462">
        <f>transport!O54</f>
        <v>0</v>
      </c>
      <c r="P10" s="463">
        <f>transport!P54</f>
        <v>0</v>
      </c>
      <c r="Q10" s="461">
        <f t="shared" si="0"/>
        <v>1436.5805687116047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561.13699999999994</v>
      </c>
      <c r="C14" s="469"/>
      <c r="D14" s="469">
        <f>'SEAP template'!E25</f>
        <v>3027.2550000000001</v>
      </c>
      <c r="E14" s="469"/>
      <c r="F14" s="469"/>
      <c r="G14" s="469"/>
      <c r="H14" s="469"/>
      <c r="I14" s="469"/>
      <c r="J14" s="469"/>
      <c r="K14" s="469"/>
      <c r="L14" s="469"/>
      <c r="M14" s="469"/>
      <c r="N14" s="469"/>
      <c r="O14" s="469"/>
      <c r="P14" s="470"/>
      <c r="Q14" s="461">
        <f t="shared" si="0"/>
        <v>3588.3919999999998</v>
      </c>
    </row>
    <row r="15" spans="1:17" s="474" customFormat="1">
      <c r="A15" s="471" t="s">
        <v>568</v>
      </c>
      <c r="B15" s="472">
        <f ca="1">SUM(B4:B14)</f>
        <v>42953.818916802833</v>
      </c>
      <c r="C15" s="472">
        <f t="shared" ref="C15:Q15" ca="1" si="1">SUM(C4:C14)</f>
        <v>769.66071428571422</v>
      </c>
      <c r="D15" s="472">
        <f t="shared" ca="1" si="1"/>
        <v>74267.24546270752</v>
      </c>
      <c r="E15" s="472">
        <f t="shared" si="1"/>
        <v>3966.5021586925313</v>
      </c>
      <c r="F15" s="472">
        <f t="shared" ca="1" si="1"/>
        <v>14005.134468918375</v>
      </c>
      <c r="G15" s="472">
        <f t="shared" si="1"/>
        <v>149649.12292598677</v>
      </c>
      <c r="H15" s="472">
        <f t="shared" si="1"/>
        <v>19330.532928687946</v>
      </c>
      <c r="I15" s="472">
        <f t="shared" si="1"/>
        <v>0</v>
      </c>
      <c r="J15" s="472">
        <f t="shared" si="1"/>
        <v>1741.5605420254228</v>
      </c>
      <c r="K15" s="472">
        <f t="shared" si="1"/>
        <v>0</v>
      </c>
      <c r="L15" s="472">
        <f t="shared" ca="1" si="1"/>
        <v>0</v>
      </c>
      <c r="M15" s="472">
        <f t="shared" si="1"/>
        <v>7634.0233723715419</v>
      </c>
      <c r="N15" s="472">
        <f t="shared" ca="1" si="1"/>
        <v>18729.769656807854</v>
      </c>
      <c r="O15" s="472">
        <f t="shared" si="1"/>
        <v>211.05000000000004</v>
      </c>
      <c r="P15" s="472">
        <f t="shared" si="1"/>
        <v>171.6</v>
      </c>
      <c r="Q15" s="472">
        <f t="shared" ca="1" si="1"/>
        <v>333430.02114728652</v>
      </c>
    </row>
    <row r="17" spans="1:17">
      <c r="A17" s="475" t="s">
        <v>569</v>
      </c>
      <c r="B17" s="781">
        <f ca="1">huishoudens!B10</f>
        <v>6.128560293514794E-2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1340.5917375480849</v>
      </c>
      <c r="C22" s="462">
        <f t="shared" ref="C22:C32" ca="1" si="3">C4*$C$17</f>
        <v>0</v>
      </c>
      <c r="D22" s="462">
        <f t="shared" ref="D22:D32" si="4">D4*$D$17</f>
        <v>10546.868700984001</v>
      </c>
      <c r="E22" s="462">
        <f t="shared" ref="E22:E32" si="5">E4*$E$17</f>
        <v>587.86820642812108</v>
      </c>
      <c r="F22" s="462">
        <f t="shared" ref="F22:F32" si="6">F4*$F$17</f>
        <v>0</v>
      </c>
      <c r="G22" s="462">
        <f t="shared" ref="G22:G32" si="7">G4*$G$17</f>
        <v>0</v>
      </c>
      <c r="H22" s="462">
        <f t="shared" ref="H22:H32" si="8">H4*$H$17</f>
        <v>0</v>
      </c>
      <c r="I22" s="462">
        <f t="shared" ref="I22:I32" si="9">I4*$I$17</f>
        <v>0</v>
      </c>
      <c r="J22" s="462">
        <f t="shared" ref="J22:J32" si="10">J4*$J$17</f>
        <v>478.14003855933822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12953.468683519544</v>
      </c>
    </row>
    <row r="23" spans="1:17">
      <c r="A23" s="461" t="s">
        <v>156</v>
      </c>
      <c r="B23" s="462">
        <f t="shared" ca="1" si="2"/>
        <v>737.59490699759135</v>
      </c>
      <c r="C23" s="462">
        <f t="shared" ca="1" si="3"/>
        <v>0</v>
      </c>
      <c r="D23" s="462">
        <f t="shared" ca="1" si="4"/>
        <v>2386.3314363240002</v>
      </c>
      <c r="E23" s="462">
        <f t="shared" si="5"/>
        <v>29.816890500698765</v>
      </c>
      <c r="F23" s="462">
        <f t="shared" ca="1" si="6"/>
        <v>655.80522345883264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3809.5484572811229</v>
      </c>
    </row>
    <row r="24" spans="1:17">
      <c r="A24" s="461" t="s">
        <v>194</v>
      </c>
      <c r="B24" s="462">
        <f t="shared" ca="1" si="2"/>
        <v>64.511677073654127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64.511677073654127</v>
      </c>
    </row>
    <row r="25" spans="1:17">
      <c r="A25" s="461" t="s">
        <v>112</v>
      </c>
      <c r="B25" s="462">
        <f t="shared" ca="1" si="2"/>
        <v>156.98472662966071</v>
      </c>
      <c r="C25" s="462">
        <f t="shared" ca="1" si="3"/>
        <v>0</v>
      </c>
      <c r="D25" s="462">
        <f t="shared" si="4"/>
        <v>299.88956360000003</v>
      </c>
      <c r="E25" s="462">
        <f t="shared" si="5"/>
        <v>7.3272286067217998</v>
      </c>
      <c r="F25" s="462">
        <f t="shared" si="6"/>
        <v>2359.7219301787386</v>
      </c>
      <c r="G25" s="462">
        <f t="shared" si="7"/>
        <v>0</v>
      </c>
      <c r="H25" s="462">
        <f t="shared" si="8"/>
        <v>0</v>
      </c>
      <c r="I25" s="462">
        <f t="shared" si="9"/>
        <v>0</v>
      </c>
      <c r="J25" s="462">
        <f t="shared" si="10"/>
        <v>136.36948800561692</v>
      </c>
      <c r="K25" s="462">
        <f t="shared" si="11"/>
        <v>0</v>
      </c>
      <c r="L25" s="462">
        <f t="shared" si="12"/>
        <v>0</v>
      </c>
      <c r="M25" s="462">
        <f t="shared" si="13"/>
        <v>0</v>
      </c>
      <c r="N25" s="462">
        <f t="shared" si="14"/>
        <v>0</v>
      </c>
      <c r="O25" s="462">
        <f t="shared" si="15"/>
        <v>0</v>
      </c>
      <c r="P25" s="463">
        <f t="shared" si="16"/>
        <v>0</v>
      </c>
      <c r="Q25" s="461">
        <f t="shared" ca="1" si="17"/>
        <v>2960.292937020738</v>
      </c>
    </row>
    <row r="26" spans="1:17">
      <c r="A26" s="461" t="s">
        <v>657</v>
      </c>
      <c r="B26" s="462">
        <f t="shared" ca="1" si="2"/>
        <v>297.8749959301104</v>
      </c>
      <c r="C26" s="462">
        <f t="shared" ca="1" si="3"/>
        <v>0</v>
      </c>
      <c r="D26" s="462">
        <f t="shared" si="4"/>
        <v>1154.8665284640001</v>
      </c>
      <c r="E26" s="462">
        <f t="shared" si="5"/>
        <v>173.61740898645039</v>
      </c>
      <c r="F26" s="462">
        <f t="shared" si="6"/>
        <v>723.84374956363501</v>
      </c>
      <c r="G26" s="462">
        <f t="shared" si="7"/>
        <v>0</v>
      </c>
      <c r="H26" s="462">
        <f t="shared" si="8"/>
        <v>0</v>
      </c>
      <c r="I26" s="462">
        <f t="shared" si="9"/>
        <v>0</v>
      </c>
      <c r="J26" s="462">
        <f t="shared" si="10"/>
        <v>2.0029053120444984</v>
      </c>
      <c r="K26" s="462">
        <f t="shared" si="11"/>
        <v>0</v>
      </c>
      <c r="L26" s="462">
        <f t="shared" si="12"/>
        <v>0</v>
      </c>
      <c r="M26" s="462">
        <f t="shared" si="13"/>
        <v>0</v>
      </c>
      <c r="N26" s="462">
        <f t="shared" si="14"/>
        <v>0</v>
      </c>
      <c r="O26" s="462">
        <f t="shared" si="15"/>
        <v>0</v>
      </c>
      <c r="P26" s="463">
        <f t="shared" si="16"/>
        <v>0</v>
      </c>
      <c r="Q26" s="461">
        <f t="shared" ca="1" si="17"/>
        <v>2352.2055882562399</v>
      </c>
    </row>
    <row r="27" spans="1:17" s="467" customFormat="1">
      <c r="A27" s="465" t="s">
        <v>574</v>
      </c>
      <c r="B27" s="775">
        <f t="shared" ca="1" si="2"/>
        <v>0.50302713010309807</v>
      </c>
      <c r="C27" s="466">
        <f t="shared" ca="1" si="3"/>
        <v>0</v>
      </c>
      <c r="D27" s="466">
        <f t="shared" si="4"/>
        <v>2.5218440949204872</v>
      </c>
      <c r="E27" s="466">
        <f t="shared" si="5"/>
        <v>101.76625550121265</v>
      </c>
      <c r="F27" s="466">
        <f t="shared" si="6"/>
        <v>0</v>
      </c>
      <c r="G27" s="466">
        <f t="shared" si="7"/>
        <v>39589.080655441947</v>
      </c>
      <c r="H27" s="466">
        <f t="shared" si="8"/>
        <v>4813.3026992432988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44507.174481411486</v>
      </c>
    </row>
    <row r="28" spans="1:17">
      <c r="A28" s="461" t="s">
        <v>564</v>
      </c>
      <c r="B28" s="462">
        <f t="shared" ca="1" si="2"/>
        <v>0</v>
      </c>
      <c r="C28" s="462">
        <f t="shared" ca="1" si="3"/>
        <v>0</v>
      </c>
      <c r="D28" s="462">
        <f t="shared" si="4"/>
        <v>0</v>
      </c>
      <c r="E28" s="462">
        <f t="shared" si="5"/>
        <v>0</v>
      </c>
      <c r="F28" s="462">
        <f t="shared" si="6"/>
        <v>0</v>
      </c>
      <c r="G28" s="462">
        <f t="shared" si="7"/>
        <v>367.23516579652045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367.23516579652045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34.389619374220104</v>
      </c>
      <c r="C32" s="462">
        <f t="shared" ca="1" si="3"/>
        <v>0</v>
      </c>
      <c r="D32" s="462">
        <f t="shared" si="4"/>
        <v>611.50551000000007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645.89512937422023</v>
      </c>
    </row>
    <row r="33" spans="1:17" s="474" customFormat="1">
      <c r="A33" s="471" t="s">
        <v>568</v>
      </c>
      <c r="B33" s="472">
        <f ca="1">SUM(B22:B32)</f>
        <v>2632.4506906834245</v>
      </c>
      <c r="C33" s="472">
        <f t="shared" ref="C33:Q33" ca="1" si="18">SUM(C22:C32)</f>
        <v>0</v>
      </c>
      <c r="D33" s="472">
        <f t="shared" ca="1" si="18"/>
        <v>15001.983583466923</v>
      </c>
      <c r="E33" s="472">
        <f t="shared" si="18"/>
        <v>900.3959900232046</v>
      </c>
      <c r="F33" s="472">
        <f t="shared" ca="1" si="18"/>
        <v>3739.3709032012061</v>
      </c>
      <c r="G33" s="472">
        <f t="shared" si="18"/>
        <v>39956.315821238466</v>
      </c>
      <c r="H33" s="472">
        <f t="shared" si="18"/>
        <v>4813.3026992432988</v>
      </c>
      <c r="I33" s="472">
        <f t="shared" si="18"/>
        <v>0</v>
      </c>
      <c r="J33" s="472">
        <f t="shared" si="18"/>
        <v>616.5124318769997</v>
      </c>
      <c r="K33" s="472">
        <f t="shared" si="18"/>
        <v>0</v>
      </c>
      <c r="L33" s="472">
        <f t="shared" ca="1" si="18"/>
        <v>0</v>
      </c>
      <c r="M33" s="472">
        <f t="shared" si="18"/>
        <v>0</v>
      </c>
      <c r="N33" s="472">
        <f t="shared" ca="1" si="18"/>
        <v>0</v>
      </c>
      <c r="O33" s="472">
        <f t="shared" si="18"/>
        <v>0</v>
      </c>
      <c r="P33" s="472">
        <f t="shared" si="18"/>
        <v>0</v>
      </c>
      <c r="Q33" s="472">
        <f t="shared" ca="1" si="18"/>
        <v>67660.332119733517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25394.132829999999</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4704.3819999999996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538.76250000000005</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633.83823529411779</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405</v>
      </c>
      <c r="C9" s="1047">
        <f>'SEAP template'!C77</f>
        <v>0</v>
      </c>
      <c r="D9" s="1047">
        <f>'SEAP template'!D77</f>
        <v>0</v>
      </c>
      <c r="E9" s="1047">
        <f>'SEAP template'!E77</f>
        <v>0</v>
      </c>
      <c r="F9" s="1047">
        <f>'SEAP template'!F77</f>
        <v>0</v>
      </c>
      <c r="G9" s="1047">
        <f>'SEAP template'!G77</f>
        <v>0</v>
      </c>
      <c r="H9" s="1047">
        <f>'SEAP template'!H77</f>
        <v>0</v>
      </c>
      <c r="I9" s="1047">
        <f>'SEAP template'!I77</f>
        <v>1012.5</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31042.277330000001</v>
      </c>
      <c r="C10" s="1051">
        <f>SUM(C4:C9)</f>
        <v>0</v>
      </c>
      <c r="D10" s="1051">
        <f t="shared" ref="D10:H10" si="0">SUM(D8:D9)</f>
        <v>0</v>
      </c>
      <c r="E10" s="1051">
        <f t="shared" si="0"/>
        <v>0</v>
      </c>
      <c r="F10" s="1051">
        <f t="shared" si="0"/>
        <v>0</v>
      </c>
      <c r="G10" s="1051">
        <f t="shared" si="0"/>
        <v>0</v>
      </c>
      <c r="H10" s="1051">
        <f t="shared" si="0"/>
        <v>0</v>
      </c>
      <c r="I10" s="1051">
        <f>SUM(I8:I9)</f>
        <v>1012.5</v>
      </c>
      <c r="J10" s="1051">
        <f>SUM(J8:J9)</f>
        <v>633.83823529411779</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6.128560293514794E-2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769.66071428571422</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905.48319327731087</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769.66071428571422</v>
      </c>
      <c r="C20" s="1051">
        <f>SUM(C17:C19)</f>
        <v>0</v>
      </c>
      <c r="D20" s="1051">
        <f t="shared" ref="D20:H20" si="2">SUM(D17:D19)</f>
        <v>0</v>
      </c>
      <c r="E20" s="1051">
        <f t="shared" si="2"/>
        <v>0</v>
      </c>
      <c r="F20" s="1051">
        <f t="shared" si="2"/>
        <v>0</v>
      </c>
      <c r="G20" s="1051">
        <f t="shared" si="2"/>
        <v>0</v>
      </c>
      <c r="H20" s="1051">
        <f t="shared" si="2"/>
        <v>0</v>
      </c>
      <c r="I20" s="1051">
        <f>SUM(I17:I19)</f>
        <v>0</v>
      </c>
      <c r="J20" s="1051">
        <f>SUM(J17:J19)</f>
        <v>905.48319327731087</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6.128560293514794E-2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2019-08-12T08:03:07Z</dcterms:modified>
</cp:coreProperties>
</file>