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F20"/>
  <c r="D20"/>
  <c r="B17"/>
  <c r="G12"/>
  <c r="F12"/>
  <c r="E12"/>
  <c r="D12"/>
  <c r="C12"/>
  <c r="G10"/>
  <c r="F10"/>
  <c r="B8"/>
  <c r="B6"/>
  <c r="B5"/>
  <c r="B4"/>
  <c r="I102" l="1"/>
  <c r="H17" s="1"/>
  <c r="H20" s="1"/>
  <c r="B102"/>
  <c r="C17" s="1"/>
  <c r="C102"/>
  <c r="F102"/>
  <c r="G102"/>
  <c r="I101"/>
  <c r="H8" s="1"/>
  <c r="H10" s="1"/>
  <c r="H101"/>
  <c r="G101"/>
  <c r="D101"/>
  <c r="B101"/>
  <c r="C8" s="1"/>
  <c r="C10" s="1"/>
  <c r="C101"/>
  <c r="F101"/>
  <c r="O9"/>
  <c r="B10"/>
  <c r="B20"/>
  <c r="O19"/>
  <c r="C2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29" s="1"/>
  <c r="O17"/>
  <c r="O32" s="1"/>
  <c r="M4"/>
  <c r="L4"/>
  <c r="K4"/>
  <c r="I4"/>
  <c r="H4"/>
  <c r="G4"/>
  <c r="P11"/>
  <c r="O11"/>
  <c r="N11"/>
  <c r="M11"/>
  <c r="L11"/>
  <c r="K11"/>
  <c r="J11"/>
  <c r="I11"/>
  <c r="H11"/>
  <c r="G11"/>
  <c r="F11"/>
  <c r="E11"/>
  <c r="D11"/>
  <c r="C11"/>
  <c r="B11"/>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I26" s="1"/>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E25"/>
  <c r="E55" s="1"/>
  <c r="C25"/>
  <c r="B14" i="48" s="1"/>
  <c r="N26" i="14"/>
  <c r="L26"/>
  <c r="J26"/>
  <c r="J22"/>
  <c r="L78" l="1"/>
  <c r="L9" i="59"/>
  <c r="L10" s="1"/>
  <c r="Q11" i="48"/>
  <c r="O28"/>
  <c r="K22" i="14"/>
  <c r="D22"/>
  <c r="L22"/>
  <c r="K20" i="59"/>
  <c r="O10"/>
  <c r="L20"/>
  <c r="P32" i="48"/>
  <c r="D14"/>
  <c r="E20" i="59"/>
  <c r="E10"/>
  <c r="K78" i="14"/>
  <c r="K8" i="59"/>
  <c r="K10" s="1"/>
  <c r="E90" i="14"/>
  <c r="E18" i="59"/>
  <c r="P28" i="48"/>
  <c r="N10" i="59"/>
  <c r="G22" i="14"/>
  <c r="O22"/>
  <c r="P22"/>
  <c r="P25" i="48"/>
  <c r="N78" i="14"/>
  <c r="K90"/>
  <c r="L90"/>
  <c r="H90"/>
  <c r="L13" i="15"/>
  <c r="N13"/>
  <c r="F77" i="14"/>
  <c r="O78"/>
  <c r="N88"/>
  <c r="E78"/>
  <c r="H77"/>
  <c r="H9" i="59" s="1"/>
  <c r="H10" s="1"/>
  <c r="O88" i="14"/>
  <c r="G89"/>
  <c r="G78"/>
  <c r="O31" i="48"/>
  <c r="O27"/>
  <c r="O29"/>
  <c r="P31"/>
  <c r="Q14"/>
  <c r="O24"/>
  <c r="O30"/>
  <c r="P24"/>
  <c r="P30"/>
  <c r="R9" i="14"/>
  <c r="R25"/>
  <c r="B77" l="1"/>
  <c r="B9" i="59" s="1"/>
  <c r="F9"/>
  <c r="O90" i="14"/>
  <c r="O18" i="59"/>
  <c r="O20" s="1"/>
  <c r="N90" i="14"/>
  <c r="N18" i="59"/>
  <c r="N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78" i="14"/>
  <c r="F8" i="59"/>
  <c r="F10" s="1"/>
  <c r="F90" i="14"/>
  <c r="F17" i="59"/>
  <c r="F20" s="1"/>
  <c r="M90" i="14"/>
  <c r="M17" i="59"/>
  <c r="M20" s="1"/>
  <c r="I78" i="14"/>
  <c r="J76"/>
  <c r="J87"/>
  <c r="Q87"/>
  <c r="D90"/>
  <c r="Q76"/>
  <c r="D78"/>
  <c r="I90"/>
  <c r="Q90" l="1"/>
  <c r="B17" i="6" s="1"/>
  <c r="P17" i="59"/>
  <c r="P20" s="1"/>
  <c r="J78" i="14"/>
  <c r="J8" i="59"/>
  <c r="J10" s="1"/>
  <c r="J90" i="14"/>
  <c r="J17" i="59"/>
  <c r="J20" s="1"/>
  <c r="Q78" i="14"/>
  <c r="B9" i="6" s="1"/>
  <c r="P8" i="59"/>
  <c r="P10" s="1"/>
  <c r="B87" i="14"/>
  <c r="C76"/>
  <c r="B76"/>
  <c r="C87"/>
  <c r="B78" l="1"/>
  <c r="B4" i="6" s="1"/>
  <c r="B8" i="59"/>
  <c r="B10" s="1"/>
  <c r="B90" i="14"/>
  <c r="B17" i="59"/>
  <c r="B20" s="1"/>
  <c r="C78" i="14"/>
  <c r="C8" i="59"/>
  <c r="C10" s="1"/>
  <c r="C90" i="14"/>
  <c r="C17" i="59"/>
  <c r="C20" s="1"/>
  <c r="C42" i="22"/>
  <c r="H14" i="15" l="1"/>
  <c r="H16" s="1"/>
  <c r="G14"/>
  <c r="G16" s="1"/>
  <c r="H10" i="14" l="1"/>
  <c r="H16" s="1"/>
  <c r="G5" i="48"/>
  <c r="I10" i="14"/>
  <c r="I16" s="1"/>
  <c r="H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E32"/>
  <c r="E28"/>
  <c r="E31"/>
  <c r="E24"/>
  <c r="E30"/>
  <c r="E29"/>
  <c r="M32"/>
  <c r="M25"/>
  <c r="M29"/>
  <c r="M26"/>
  <c r="M22"/>
  <c r="M24"/>
  <c r="M30"/>
  <c r="M23"/>
  <c r="L10" i="14"/>
  <c r="L16" s="1"/>
  <c r="L27" s="1"/>
  <c r="K5" i="48"/>
  <c r="D30"/>
  <c r="D28"/>
  <c r="D29"/>
  <c r="D24"/>
  <c r="D31"/>
  <c r="D32"/>
  <c r="L27"/>
  <c r="L29"/>
  <c r="L32"/>
  <c r="L31"/>
  <c r="L28"/>
  <c r="L24"/>
  <c r="L22"/>
  <c r="L30"/>
  <c r="Q10" i="14"/>
  <c r="P5" i="48"/>
  <c r="P23" s="1"/>
  <c r="K32"/>
  <c r="K28"/>
  <c r="K26"/>
  <c r="K25"/>
  <c r="K31"/>
  <c r="K30"/>
  <c r="K29"/>
  <c r="K24"/>
  <c r="K27"/>
  <c r="K22"/>
  <c r="C24" i="14"/>
  <c r="C26" s="1"/>
  <c r="B7" i="48"/>
  <c r="J15" i="16"/>
  <c r="H29" i="48"/>
  <c r="H26"/>
  <c r="H32"/>
  <c r="H25"/>
  <c r="H24"/>
  <c r="H30"/>
  <c r="H28"/>
  <c r="H22"/>
  <c r="H23"/>
  <c r="J32"/>
  <c r="J29"/>
  <c r="J31"/>
  <c r="J27"/>
  <c r="J30"/>
  <c r="J28"/>
  <c r="J24"/>
  <c r="Q11" i="14"/>
  <c r="P4" i="48"/>
  <c r="P11" i="14"/>
  <c r="O4" i="48"/>
  <c r="I25"/>
  <c r="I22"/>
  <c r="I27"/>
  <c r="I31"/>
  <c r="I26"/>
  <c r="I32"/>
  <c r="I30"/>
  <c r="I24"/>
  <c r="I28"/>
  <c r="I29"/>
  <c r="D11" i="14"/>
  <c r="C4" i="48"/>
  <c r="G32"/>
  <c r="G26"/>
  <c r="G22"/>
  <c r="G30"/>
  <c r="G29"/>
  <c r="G24"/>
  <c r="G25"/>
  <c r="G23"/>
  <c r="C11" i="14"/>
  <c r="B4" i="48"/>
  <c r="F32"/>
  <c r="F29"/>
  <c r="F28"/>
  <c r="F30"/>
  <c r="F31"/>
  <c r="F27"/>
  <c r="F24"/>
  <c r="N32"/>
  <c r="N29"/>
  <c r="N31"/>
  <c r="N27"/>
  <c r="N28"/>
  <c r="N30"/>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P22" i="48" l="1"/>
  <c r="P33" s="1"/>
  <c r="P15"/>
  <c r="H18" i="14"/>
  <c r="R18" s="1"/>
  <c r="G13" i="48"/>
  <c r="H13"/>
  <c r="H31" s="1"/>
  <c r="I18" i="14"/>
  <c r="K23" i="48"/>
  <c r="K15"/>
  <c r="O22"/>
  <c r="Q16" i="14"/>
  <c r="Q27" s="1"/>
  <c r="P22" i="16"/>
  <c r="Q43" i="14" s="1"/>
  <c r="Q13"/>
  <c r="P8" i="48"/>
  <c r="P26" s="1"/>
  <c r="E20" i="14"/>
  <c r="E22" s="1"/>
  <c r="D9" i="48"/>
  <c r="D27" s="1"/>
  <c r="K33"/>
  <c r="M12" i="22"/>
  <c r="N18" i="14"/>
  <c r="M13" i="48"/>
  <c r="M31" s="1"/>
  <c r="F20" i="14"/>
  <c r="F22" s="1"/>
  <c r="E9" i="48"/>
  <c r="B9"/>
  <c r="C20" i="14"/>
  <c r="O5" i="48"/>
  <c r="O23" s="1"/>
  <c r="P10" i="14"/>
  <c r="F4" i="48"/>
  <c r="F22" s="1"/>
  <c r="G11" i="14"/>
  <c r="K24"/>
  <c r="K26" s="1"/>
  <c r="J7" i="48"/>
  <c r="J25" s="1"/>
  <c r="J10" i="14"/>
  <c r="J16" s="1"/>
  <c r="J27" s="1"/>
  <c r="I5" i="48"/>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I23"/>
  <c r="I33" s="1"/>
  <c r="I15"/>
  <c r="K11" i="14"/>
  <c r="J4" i="48"/>
  <c r="M9"/>
  <c r="N20" i="14"/>
  <c r="E27" i="48"/>
  <c r="H20" i="14"/>
  <c r="H22" s="1"/>
  <c r="H27" s="1"/>
  <c r="G9" i="48"/>
  <c r="O8"/>
  <c r="P13" i="14"/>
  <c r="C22"/>
  <c r="M10" i="48"/>
  <c r="M28" s="1"/>
  <c r="N19" i="14"/>
  <c r="E7" i="48"/>
  <c r="E25" s="1"/>
  <c r="F24" i="14"/>
  <c r="F26" s="1"/>
  <c r="Q13" i="48"/>
  <c r="G31"/>
  <c r="P46" i="14"/>
  <c r="P61" s="1"/>
  <c r="P63" s="1"/>
  <c r="Q63"/>
  <c r="Q46"/>
  <c r="Q61" s="1"/>
  <c r="N22"/>
  <c r="N27" s="1"/>
  <c r="H19"/>
  <c r="R19" s="1"/>
  <c r="G10" i="48"/>
  <c r="P16" i="14"/>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H52" l="1"/>
  <c r="H61" s="1"/>
  <c r="H63" s="1"/>
  <c r="K10"/>
  <c r="J5" i="48"/>
  <c r="J23" s="1"/>
  <c r="O26"/>
  <c r="O33" s="1"/>
  <c r="O15"/>
  <c r="J22"/>
  <c r="I20" i="14"/>
  <c r="I22" s="1"/>
  <c r="I27" s="1"/>
  <c r="H9" i="48"/>
  <c r="M27"/>
  <c r="M33" s="1"/>
  <c r="M15"/>
  <c r="N63" i="14"/>
  <c r="R20"/>
  <c r="R22" s="1"/>
  <c r="E20" i="15"/>
  <c r="F40" i="14" s="1"/>
  <c r="E5" i="48"/>
  <c r="E23" s="1"/>
  <c r="F10" i="14"/>
  <c r="G28" i="48"/>
  <c r="Q10"/>
  <c r="E22"/>
  <c r="Q4"/>
  <c r="J20" i="15"/>
  <c r="K40" i="14" s="1"/>
  <c r="R11"/>
  <c r="G27" i="48"/>
  <c r="G15"/>
  <c r="M61" i="14"/>
  <c r="M27"/>
  <c r="E16"/>
  <c r="E27" s="1"/>
  <c r="E63" s="1"/>
  <c r="L15" i="48"/>
  <c r="R24" i="14"/>
  <c r="R26" s="1"/>
  <c r="L33" i="48"/>
  <c r="Q7"/>
  <c r="R10" i="14"/>
  <c r="D23" i="48"/>
  <c r="D33" s="1"/>
  <c r="D15"/>
  <c r="C16" i="14"/>
  <c r="C27" s="1"/>
  <c r="B3" i="6" s="1"/>
  <c r="B12" s="1"/>
  <c r="F23" i="48"/>
  <c r="N23"/>
  <c r="B15"/>
  <c r="F18" i="16"/>
  <c r="E18"/>
  <c r="N18"/>
  <c r="N22" s="1"/>
  <c r="O43" i="14" s="1"/>
  <c r="O46" s="1"/>
  <c r="O61" s="1"/>
  <c r="J18" i="16"/>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Q9"/>
  <c r="E8"/>
  <c r="F13" i="14"/>
  <c r="F16" s="1"/>
  <c r="F27" s="1"/>
  <c r="F63" s="1"/>
  <c r="J22" i="16"/>
  <c r="K43" i="14" s="1"/>
  <c r="K13"/>
  <c r="K16" s="1"/>
  <c r="K27" s="1"/>
  <c r="J8" i="48"/>
  <c r="K46" i="14"/>
  <c r="K61" s="1"/>
  <c r="F46"/>
  <c r="F61" s="1"/>
  <c r="Q5" i="48"/>
  <c r="G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<sst xmlns="http://schemas.openxmlformats.org/spreadsheetml/2006/main" count="2441" uniqueCount="920">
  <si>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</si>
  <si>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</si>
  <si>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</si>
  <si>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</si>
  <si>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</si>
  <si>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</si>
  <si>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</si>
  <si>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</si>
  <si>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</si>
  <si>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</si>
  <si>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</si>
  <si>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</si>
  <si>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</si>
  <si>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</si>
  <si>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</si>
  <si>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</si>
  <si>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</si>
  <si>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</si>
  <si>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</si>
  <si>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</si>
  <si>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</si>
  <si>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</si>
  <si>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</si>
  <si>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</si>
  <si>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</si>
  <si>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</si>
  <si>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</si>
  <si>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</si>
  <si>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</si>
  <si>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</si>
  <si>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</si>
  <si>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</si>
  <si>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</si>
  <si>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</si>
  <si>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</si>
  <si>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</si>
  <si>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</si>
  <si>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</si>
  <si>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</si>
  <si>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</si>
  <si>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</si>
  <si>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</si>
  <si>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</si>
  <si>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</si>
  <si>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</si>
  <si>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</si>
  <si>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</si>
  <si>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</si>
  <si>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</si>
  <si>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</si>
  <si>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</si>
  <si>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</si>
  <si>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</si>
  <si>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</si>
  <si>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</si>
  <si>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</si>
  <si>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</si>
  <si>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</si>
  <si>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</si>
  <si>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</si>
  <si>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</si>
  <si>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</si>
  <si>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</si>
  <si>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</si>
  <si>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</si>
  <si>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</si>
  <si>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</si>
  <si>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</si>
  <si>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</si>
  <si>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</si>
  <si>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</si>
  <si>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</si>
  <si>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</si>
  <si>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</si>
  <si>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</si>
  <si>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</si>
  <si>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</si>
  <si>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</si>
  <si>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</si>
  <si>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</si>
  <si>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</si>
  <si>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</si>
  <si>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</si>
  <si>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</si>
  <si>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</si>
  <si>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</si>
  <si>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</si>
  <si>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</si>
  <si>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</si>
  <si>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</si>
  <si>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</si>
  <si>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</si>
  <si>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</si>
  <si>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</si>
  <si>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</si>
  <si>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</si>
  <si>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</si>
  <si>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</si>
  <si>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</si>
  <si>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</si>
  <si>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</si>
  <si>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</si>
  <si>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</si>
  <si>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</si>
  <si>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</si>
  <si>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</si>
  <si>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</si>
  <si>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</si>
  <si>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</si>
  <si>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</si>
  <si>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</si>
  <si>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</si>
  <si>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</si>
  <si>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</si>
  <si>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</si>
  <si>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</si>
  <si>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</si>
  <si>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</si>
  <si>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</si>
  <si>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</si>
  <si>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</si>
  <si>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</si>
  <si>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</si>
  <si>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</si>
  <si>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</si>
  <si>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</si>
  <si>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</si>
  <si>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</si>
  <si>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</si>
  <si>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</si>
  <si>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</si>
  <si>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</si>
  <si>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</si>
  <si>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</si>
  <si>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</si>
  <si>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</si>
  <si>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</si>
  <si>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</si>
  <si>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</si>
  <si>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</si>
  <si>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</si>
  <si>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</si>
  <si>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</si>
  <si>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</si>
  <si>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</si>
  <si>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</si>
  <si>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</si>
  <si>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</si>
  <si>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</si>
  <si>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</si>
  <si>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</si>
  <si>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</si>
  <si>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</si>
  <si>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</si>
  <si>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</si>
  <si>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</si>
  <si>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</si>
  <si>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</si>
  <si>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</si>
  <si>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</si>
  <si>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</si>
  <si>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</si>
  <si>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</si>
  <si>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</si>
  <si>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</si>
  <si>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</si>
  <si>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</si>
  <si>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</si>
  <si>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</si>
  <si>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</si>
  <si>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</si>
  <si>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</si>
  <si>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</si>
  <si>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</si>
  <si>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</si>
  <si>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</si>
  <si>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</si>
  <si>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</si>
  <si>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</si>
  <si>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</si>
  <si>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</si>
  <si>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</si>
  <si>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</si>
  <si>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</si>
  <si>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</si>
  <si>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</si>
  <si>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</si>
  <si>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</si>
  <si>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</si>
  <si>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</si>
  <si>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</si>
  <si>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</si>
  <si>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</si>
  <si>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</si>
  <si>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</si>
  <si>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</si>
  <si>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</si>
  <si>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</si>
  <si>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</si>
  <si>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</si>
  <si>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</si>
  <si>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</si>
  <si>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</si>
  <si>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</si>
  <si>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</si>
  <si>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</si>
  <si>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</si>
  <si>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</si>
  <si>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</si>
  <si>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</si>
  <si>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</si>
  <si>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</si>
  <si>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</si>
  <si>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</si>
  <si>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</si>
  <si>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</si>
  <si>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</si>
  <si>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</si>
  <si>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</si>
  <si>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</si>
  <si>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</si>
  <si>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</si>
  <si>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</si>
  <si>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</si>
  <si>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</si>
  <si>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</si>
  <si>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</si>
  <si>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</si>
  <si>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</si>
  <si>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</si>
  <si>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</si>
  <si>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</si>
  <si>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</si>
  <si>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</si>
  <si>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</si>
  <si>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</si>
  <si>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</si>
  <si>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</si>
  <si>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</si>
  <si>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</si>
  <si>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</si>
  <si>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</si>
  <si>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</si>
  <si>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</si>
  <si>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</si>
  <si>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</si>
  <si>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</si>
  <si>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</si>
  <si>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</si>
  <si>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</si>
  <si>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</si>
  <si>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</si>
  <si>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</si>
  <si>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</si>
  <si>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</si>
  <si>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</si>
  <si>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</si>
  <si>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</si>
  <si>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</si>
  <si>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</si>
  <si>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</si>
  <si>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</si>
  <si>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</si>
  <si>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</si>
  <si>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</si>
  <si>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</si>
  <si>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</si>
  <si>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</si>
  <si>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</si>
  <si>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</si>
  <si>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</si>
  <si>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</si>
  <si>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</si>
  <si>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</si>
  <si>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</si>
  <si>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</si>
  <si>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</si>
  <si>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</si>
  <si>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</si>
  <si>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</si>
  <si>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</si>
  <si>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</si>
  <si>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</si>
  <si>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</si>
  <si>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</si>
  <si>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</si>
  <si>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</si>
  <si>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</si>
  <si>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</si>
  <si>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</si>
  <si>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</si>
  <si>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</si>
  <si>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</si>
  <si>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</si>
  <si>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</si>
  <si>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</si>
  <si>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</si>
  <si>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</si>
  <si>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</si>
  <si>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</si>
  <si>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</si>
  <si>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</si>
  <si>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</si>
  <si>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</si>
  <si>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</si>
  <si>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</si>
  <si>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</si>
  <si>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</si>
  <si>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</si>
  <si>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</si>
  <si>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</si>
  <si>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</si>
  <si>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</si>
  <si>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</si>
  <si>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</si>
  <si>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</si>
  <si>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</si>
  <si>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</si>
  <si>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</si>
  <si>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</si>
  <si>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</si>
  <si>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</si>
  <si>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</si>
  <si>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</si>
  <si>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</si>
  <si>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</si>
  <si>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</si>
  <si>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</si>
  <si>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</si>
  <si>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</si>
  <si>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</si>
  <si>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</si>
  <si>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</si>
  <si>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</si>
  <si>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</si>
  <si>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</si>
  <si>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</si>
  <si>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</si>
  <si>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</si>
  <si>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</si>
  <si>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</si>
  <si>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</si>
  <si>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</si>
  <si>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</si>
  <si>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</si>
  <si>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</si>
  <si>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</si>
  <si>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</si>
  <si>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</si>
  <si>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</si>
  <si>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</si>
  <si>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</si>
  <si>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</si>
  <si>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</si>
  <si>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</si>
  <si>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</si>
  <si>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</si>
  <si>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</si>
  <si>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</si>
  <si>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</si>
  <si>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</si>
  <si>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</si>
  <si>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</si>
  <si>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</si>
  <si>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</si>
  <si>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</si>
  <si>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</si>
  <si>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</si>
  <si>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</si>
  <si>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</si>
  <si>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</si>
  <si>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</si>
  <si>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</si>
  <si>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</si>
  <si>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</si>
  <si>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</si>
  <si>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</si>
  <si>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</si>
  <si>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</si>
  <si>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</si>
  <si>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</si>
  <si>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</si>
  <si>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</si>
  <si>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</si>
  <si>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</si>
  <si>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</si>
  <si>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</si>
  <si>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</si>
  <si>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</si>
  <si>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</si>
  <si>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</si>
  <si>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</si>
  <si>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</si>
  <si>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</si>
  <si>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</si>
  <si>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</si>
  <si>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</si>
  <si>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</si>
  <si>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</si>
  <si>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</si>
  <si>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</si>
  <si>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</si>
  <si>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</si>
  <si>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</si>
  <si>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</si>
  <si>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</si>
  <si>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</si>
  <si>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</si>
  <si>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</si>
  <si>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</si>
  <si>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</si>
  <si>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</si>
  <si>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</si>
  <si>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</si>
  <si>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</si>
  <si>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</si>
  <si>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</si>
  <si>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</si>
  <si>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</si>
  <si>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</si>
  <si>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</si>
  <si>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</si>
  <si>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</si>
  <si>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</si>
  <si>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</si>
  <si>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</si>
  <si>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</si>
  <si>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</si>
  <si>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</si>
  <si>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</si>
  <si>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</si>
  <si>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</si>
  <si>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</si>
  <si>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</si>
  <si>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</si>
  <si>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</si>
  <si>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</si>
  <si>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</si>
  <si>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</si>
  <si>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</si>
  <si>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</si>
  <si>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</si>
  <si>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</si>
  <si>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</si>
  <si>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</si>
  <si>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</si>
  <si>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</si>
  <si>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</si>
  <si>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</si>
  <si>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</si>
  <si>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</si>
  <si>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</si>
  <si>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</si>
  <si>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</si>
  <si>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</si>
  <si>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</si>
  <si>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</si>
  <si>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</si>
  <si>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</si>
  <si>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</si>
  <si>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</si>
  <si>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</si>
  <si>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</si>
  <si>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</si>
  <si>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</si>
  <si>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</si>
  <si>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</si>
  <si>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</si>
  <si>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</si>
  <si>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</si>
  <si>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</si>
  <si>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</si>
  <si>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</si>
  <si>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</si>
  <si>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</si>
  <si>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</si>
  <si>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</si>
  <si>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</si>
  <si>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</si>
  <si>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</si>
  <si>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</si>
  <si>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</si>
  <si>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</si>
  <si>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</si>
  <si>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</si>
  <si>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</si>
  <si>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</si>
  <si>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</si>
  <si>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</si>
  <si>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</si>
  <si>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</si>
  <si>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</si>
  <si>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</si>
  <si>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</si>
  <si>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</si>
  <si>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</si>
  <si>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</si>
  <si>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</si>
  <si>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</si>
  <si>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</si>
  <si>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</si>
  <si>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</si>
  <si>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</si>
  <si>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</si>
  <si>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</si>
  <si>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</si>
  <si>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</si>
  <si>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</si>
  <si>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</si>
  <si>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</si>
  <si>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</si>
  <si>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</si>
  <si>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</si>
  <si>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</si>
  <si>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</si>
  <si>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</si>
  <si>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</si>
  <si>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</si>
  <si>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</si>
  <si>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</si>
  <si>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</si>
  <si>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</si>
  <si>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</si>
  <si>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</si>
  <si>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</si>
  <si>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</si>
  <si>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</si>
  <si>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</si>
  <si>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</si>
  <si>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</si>
  <si>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</si>
  <si>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</si>
  <si>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</si>
  <si>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</si>
  <si>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</si>
  <si>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</si>
  <si>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</si>
  <si>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</si>
  <si>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</si>
  <si>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</si>
  <si>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</si>
  <si>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</si>
  <si>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</si>
  <si>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</si>
  <si>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</si>
  <si>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</si>
  <si>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</si>
  <si>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</si>
  <si>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</si>
  <si>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</si>
  <si>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</si>
  <si>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</si>
  <si>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</si>
  <si>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</si>
  <si>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</si>
  <si>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</si>
  <si>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</si>
  <si>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</si>
  <si>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</si>
  <si>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</si>
  <si>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</si>
  <si>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</si>
  <si>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</si>
  <si>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</si>
  <si>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</si>
  <si>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</si>
  <si>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</si>
  <si>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</si>
  <si>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</si>
  <si>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</si>
  <si>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</si>
  <si>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</si>
  <si>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</si>
  <si>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</si>
  <si>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</si>
  <si>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</si>
  <si>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</si>
  <si>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</si>
  <si>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</si>
  <si>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</si>
  <si>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</si>
  <si>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</si>
  <si>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</si>
  <si>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</si>
  <si>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</si>
  <si>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</si>
  <si>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</si>
  <si>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</si>
  <si>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</si>
  <si>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</si>
  <si>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</si>
  <si>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</si>
  <si>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</si>
  <si>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</si>
  <si>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</si>
  <si>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</si>
  <si>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</si>
  <si>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</si>
  <si>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</si>
  <si>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</si>
  <si>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</si>
  <si>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</si>
  <si>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</si>
  <si>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</si>
  <si>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</si>
  <si>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</si>
  <si>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</si>
  <si>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</si>
  <si>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</si>
  <si>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</si>
  <si>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</si>
  <si>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</si>
  <si>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</si>
  <si>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</si>
  <si>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</si>
  <si>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</si>
  <si>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</si>
  <si>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</si>
  <si>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</si>
  <si>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</si>
  <si>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</si>
  <si>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</si>
  <si>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</si>
  <si>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</si>
  <si>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</si>
  <si>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</si>
  <si>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</si>
  <si>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</si>
  <si>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</si>
  <si>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</si>
  <si>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</si>
  <si>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</si>
  <si>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</si>
  <si>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</si>
  <si>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</si>
  <si>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</si>
  <si>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</si>
  <si>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</si>
  <si>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</si>
  <si>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</si>
  <si>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</si>
  <si>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</si>
  <si>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</si>
  <si>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</si>
  <si>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</si>
  <si>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</si>
  <si>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</si>
  <si>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</si>
  <si>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</si>
  <si>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</si>
  <si>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</si>
  <si>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</si>
  <si>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</si>
  <si>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</si>
  <si>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</si>
  <si>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</si>
  <si>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</si>
  <si>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</si>
  <si>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</si>
  <si>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</si>
  <si>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</si>
  <si>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</si>
  <si>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</si>
  <si>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</si>
  <si>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</si>
  <si>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</si>
  <si>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</si>
  <si>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</si>
  <si>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</si>
  <si>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</si>
  <si>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</si>
  <si>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</si>
  <si>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</si>
  <si>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</si>
  <si>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</si>
  <si>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</si>
  <si>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</si>
  <si>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</si>
  <si>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</si>
  <si>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</si>
  <si>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</si>
  <si>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</si>
  <si>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</si>
  <si>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</si>
  <si>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</si>
  <si>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</si>
  <si>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</si>
  <si>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</si>
  <si>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</si>
  <si>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</si>
  <si>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</si>
  <si>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</si>
  <si>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</si>
  <si>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</si>
  <si>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</si>
  <si>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</si>
  <si>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</si>
  <si>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</si>
  <si>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</si>
  <si>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</si>
  <si>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</si>
  <si>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</si>
  <si>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</si>
  <si>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</si>
  <si>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</si>
  <si>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</si>
  <si>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</si>
  <si>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</si>
  <si>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</si>
  <si>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</si>
  <si>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</si>
  <si>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</si>
  <si>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</si>
  <si>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</si>
  <si>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</si>
  <si>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</si>
  <si>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</si>
  <si>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</si>
  <si>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</si>
  <si>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</si>
  <si>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</si>
  <si>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</si>
  <si>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</si>
  <si>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</si>
  <si>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</si>
  <si>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</si>
  <si>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</si>
  <si>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</si>
  <si>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</si>
  <si>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</si>
  <si>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</si>
  <si>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</si>
  <si>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</si>
  <si>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</si>
  <si>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</si>
  <si>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</si>
  <si>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</si>
  <si>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</si>
  <si>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</si>
  <si>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</si>
  <si>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</si>
  <si>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</si>
  <si>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</si>
  <si>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</si>
  <si>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</si>
  <si>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</si>
  <si>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</si>
  <si>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</si>
  <si>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</si>
  <si>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</si>
  <si>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</si>
  <si>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</si>
  <si>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</si>
  <si>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</si>
  <si>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</si>
  <si>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</si>
  <si>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</si>
  <si>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</si>
  <si>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</si>
  <si>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</si>
  <si>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</si>
  <si>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</si>
  <si>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</si>
  <si>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</si>
  <si>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</si>
  <si>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</si>
  <si>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</si>
  <si>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</si>
  <si>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</si>
  <si>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</si>
  <si>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</si>
  <si>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</si>
  <si>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</si>
  <si>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</si>
  <si>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</si>
  <si>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</si>
  <si>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</si>
  <si>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</si>
  <si>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</si>
  <si>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</si>
  <si>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</si>
  <si>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</si>
  <si>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</si>
  <si>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</si>
  <si>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</si>
  <si>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</si>
  <si>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</si>
  <si>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</si>
  <si>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</si>
  <si>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</si>
  <si>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</si>
  <si>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</si>
  <si>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</si>
  <si>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</si>
  <si>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</si>
  <si>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</si>
  <si>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</si>
  <si>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</si>
  <si>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</si>
  <si>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</si>
  <si>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</si>
  <si>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</si>
  <si>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</si>
  <si>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</si>
  <si>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</si>
  <si>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</si>
  <si>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</si>
  <si>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</si>
  <si>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</si>
  <si>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</si>
  <si>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</si>
  <si>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</si>
  <si>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</si>
  <si>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</si>
  <si>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</si>
  <si>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</si>
  <si>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</si>
  <si>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</si>
  <si>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</si>
  <si>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</si>
  <si>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</si>
  <si>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</si>
  <si>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</si>
  <si>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</si>
  <si>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</si>
  <si>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</si>
  <si>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</si>
  <si>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</si>
  <si>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</si>
  <si>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</si>
  <si>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</si>
  <si>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</si>
  <si>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</si>
  <si>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</si>
  <si>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</si>
  <si>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</si>
  <si>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</si>
  <si>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</si>
  <si>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</si>
  <si>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</si>
  <si>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</si>
  <si>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</si>
  <si>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</si>
  <si>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</si>
  <si>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</si>
  <si>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</si>
  <si>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</si>
  <si>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</si>
  <si>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</si>
  <si>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</si>
  <si>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</si>
  <si>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</si>
  <si>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</si>
  <si>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</si>
  <si>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</si>
  <si>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</si>
  <si>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</si>
  <si>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</si>
  <si>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</si>
  <si>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</si>
  <si>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</si>
  <si>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</si>
  <si>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</si>
  <si>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</si>
  <si>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</si>
  <si>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</si>
  <si>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</si>
  <si>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</si>
  <si>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</si>
  <si>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</si>
  <si>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</si>
  <si>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</si>
  <si>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</si>
  <si>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</si>
  <si>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</si>
  <si>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</si>
  <si>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</si>
  <si>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</si>
  <si>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</si>
  <si>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</si>
  <si>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</si>
  <si>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</si>
  <si>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</si>
  <si>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</si>
  <si>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</si>
  <si>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</si>
  <si>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</si>
  <si>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</si>
  <si>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</si>
  <si>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</si>
  <si>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</si>
  <si>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</si>
  <si>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</si>
  <si>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</si>
  <si>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</si>
  <si>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</si>
  <si>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</si>
  <si>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</si>
  <si>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</si>
  <si>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</si>
  <si>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</si>
  <si>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</si>
  <si>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</si>
  <si>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</si>
  <si>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</si>
  <si>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</si>
  <si>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34042</t>
  </si>
  <si>
    <t>ZWEVEGEM</t>
  </si>
  <si>
    <t>Cultuurgrond (ha)</t>
  </si>
  <si>
    <t>Paarden&amp;pony's 200 - 600 kg</t>
  </si>
  <si>
    <t>Paarden&amp;pony's &lt; 200 kg</t>
  </si>
  <si>
    <t>op basis van VEA (maart 2018) en Inventaris Hernieuwbare Energiebronnen (juni 2018)</t>
  </si>
  <si>
    <t>VEA (juni 2018)</t>
  </si>
  <si>
    <t>IMOG</t>
  </si>
  <si>
    <t>Kortrijksesteenweg 264, 8530 Harelbeke</t>
  </si>
  <si>
    <t>BGS-0125 Imog</t>
  </si>
  <si>
    <t>biogas - stortgas</t>
  </si>
  <si>
    <t>niet WKK interne verbrandingsmotor (gas)</t>
  </si>
  <si>
    <t>Sint-Pietersbruglaan 1 , 8552 Moen</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</si>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</sst>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209677.35709148046</c:v>
                </c:pt>
                <c:pt idx="1">
                  <c:v>52286.744031125665</c:v>
                </c:pt>
                <c:pt idx="2">
                  <c:v>1979.875</c:v>
                </c:pt>
                <c:pt idx="3">
                  <c:v>11899.34584908344</c:v>
                </c:pt>
                <c:pt idx="4">
                  <c:v>199155.38528368459</c:v>
                </c:pt>
                <c:pt idx="5">
                  <c:v>78067.274313424641</c:v>
                </c:pt>
                <c:pt idx="6">
                  <c:v>1190.5487560751444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209677.35709148046</c:v>
                </c:pt>
                <c:pt idx="1">
                  <c:v>52286.744031125665</c:v>
                </c:pt>
                <c:pt idx="2">
                  <c:v>1979.875</c:v>
                </c:pt>
                <c:pt idx="3">
                  <c:v>11899.34584908344</c:v>
                </c:pt>
                <c:pt idx="4">
                  <c:v>199155.38528368459</c:v>
                </c:pt>
                <c:pt idx="5">
                  <c:v>78067.274313424641</c:v>
                </c:pt>
                <c:pt idx="6">
                  <c:v>1190.5487560751444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41717.473336375282</c:v>
                </c:pt>
                <c:pt idx="2">
                  <c:v>10735.332922458892</c:v>
                </c:pt>
                <c:pt idx="3">
                  <c:v>388.82723823431292</c:v>
                </c:pt>
                <c:pt idx="4">
                  <c:v>2994.0095133937275</c:v>
                </c:pt>
                <c:pt idx="5">
                  <c:v>39663.688395656274</c:v>
                </c:pt>
                <c:pt idx="6">
                  <c:v>19706.36570635689</c:v>
                </c:pt>
                <c:pt idx="7">
                  <c:v>304.34169816052105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41717.473336375282</c:v>
                </c:pt>
                <c:pt idx="2">
                  <c:v>10735.332922458892</c:v>
                </c:pt>
                <c:pt idx="3">
                  <c:v>388.82723823431292</c:v>
                </c:pt>
                <c:pt idx="4">
                  <c:v>2994.0095133937275</c:v>
                </c:pt>
                <c:pt idx="5">
                  <c:v>39663.688395656274</c:v>
                </c:pt>
                <c:pt idx="6">
                  <c:v>19706.36570635689</c:v>
                </c:pt>
                <c:pt idx="7">
                  <c:v>304.34169816052105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34042</v>
      </c>
      <c r="B6" s="398"/>
      <c r="C6" s="399"/>
    </row>
    <row r="7" spans="1:7" s="396" customFormat="1" ht="15.75" customHeight="1">
      <c r="A7" s="400" t="str">
        <f>txtMunicipality</f>
        <v>ZWEVEGEM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0.19638979139304902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0.19638979139304902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34042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9889</v>
      </c>
      <c r="C9" s="338">
        <v>10379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4277</v>
      </c>
    </row>
    <row r="15" spans="1:6">
      <c r="A15" s="1295" t="s">
        <v>184</v>
      </c>
      <c r="B15" s="335">
        <v>22</v>
      </c>
    </row>
    <row r="16" spans="1:6">
      <c r="A16" s="1295" t="s">
        <v>6</v>
      </c>
      <c r="B16" s="335">
        <v>657</v>
      </c>
    </row>
    <row r="17" spans="1:6">
      <c r="A17" s="1295" t="s">
        <v>7</v>
      </c>
      <c r="B17" s="335">
        <v>827</v>
      </c>
    </row>
    <row r="18" spans="1:6">
      <c r="A18" s="1295" t="s">
        <v>8</v>
      </c>
      <c r="B18" s="335">
        <v>985</v>
      </c>
    </row>
    <row r="19" spans="1:6">
      <c r="A19" s="1295" t="s">
        <v>9</v>
      </c>
      <c r="B19" s="335">
        <v>911</v>
      </c>
    </row>
    <row r="20" spans="1:6">
      <c r="A20" s="1295" t="s">
        <v>10</v>
      </c>
      <c r="B20" s="335">
        <v>985</v>
      </c>
    </row>
    <row r="21" spans="1:6">
      <c r="A21" s="1295" t="s">
        <v>11</v>
      </c>
      <c r="B21" s="335">
        <v>3629</v>
      </c>
    </row>
    <row r="22" spans="1:6">
      <c r="A22" s="1295" t="s">
        <v>12</v>
      </c>
      <c r="B22" s="335">
        <v>20108</v>
      </c>
    </row>
    <row r="23" spans="1:6">
      <c r="A23" s="1295" t="s">
        <v>13</v>
      </c>
      <c r="B23" s="335">
        <v>165</v>
      </c>
    </row>
    <row r="24" spans="1:6">
      <c r="A24" s="1295" t="s">
        <v>14</v>
      </c>
      <c r="B24" s="335">
        <v>20</v>
      </c>
    </row>
    <row r="25" spans="1:6">
      <c r="A25" s="1295" t="s">
        <v>15</v>
      </c>
      <c r="B25" s="335">
        <v>1239</v>
      </c>
    </row>
    <row r="26" spans="1:6">
      <c r="A26" s="1295" t="s">
        <v>16</v>
      </c>
      <c r="B26" s="335">
        <v>180</v>
      </c>
    </row>
    <row r="27" spans="1:6">
      <c r="A27" s="1295" t="s">
        <v>17</v>
      </c>
      <c r="B27" s="335">
        <v>13</v>
      </c>
    </row>
    <row r="28" spans="1:6" s="341" customFormat="1">
      <c r="A28" s="1296" t="s">
        <v>18</v>
      </c>
      <c r="B28" s="1296">
        <v>397620</v>
      </c>
    </row>
    <row r="29" spans="1:6">
      <c r="A29" s="1296" t="s">
        <v>909</v>
      </c>
      <c r="B29" s="1296">
        <v>106</v>
      </c>
      <c r="C29" s="341"/>
      <c r="D29" s="341"/>
      <c r="E29" s="341"/>
      <c r="F29" s="341"/>
    </row>
    <row r="30" spans="1:6">
      <c r="A30" s="1291" t="s">
        <v>910</v>
      </c>
      <c r="B30" s="1291">
        <v>52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1347.621284114</v>
      </c>
      <c r="E38" s="335">
        <v>3</v>
      </c>
      <c r="F38" s="335">
        <v>20101.353144017201</v>
      </c>
    </row>
    <row r="39" spans="1:6">
      <c r="A39" s="1295" t="s">
        <v>30</v>
      </c>
      <c r="B39" s="1295" t="s">
        <v>31</v>
      </c>
      <c r="C39" s="335">
        <v>5230</v>
      </c>
      <c r="D39" s="335">
        <v>87025975.879250303</v>
      </c>
      <c r="E39" s="335">
        <v>9472</v>
      </c>
      <c r="F39" s="335">
        <v>41015133.983229898</v>
      </c>
    </row>
    <row r="40" spans="1:6">
      <c r="A40" s="1295" t="s">
        <v>30</v>
      </c>
      <c r="B40" s="1295" t="s">
        <v>29</v>
      </c>
      <c r="C40" s="335">
        <v>0</v>
      </c>
      <c r="D40" s="335">
        <v>0</v>
      </c>
      <c r="E40" s="335">
        <v>0</v>
      </c>
      <c r="F40" s="335">
        <v>0</v>
      </c>
    </row>
    <row r="41" spans="1:6">
      <c r="A41" s="1295" t="s">
        <v>32</v>
      </c>
      <c r="B41" s="1295" t="s">
        <v>33</v>
      </c>
      <c r="C41" s="335">
        <v>52</v>
      </c>
      <c r="D41" s="335">
        <v>1095244.6199534601</v>
      </c>
      <c r="E41" s="335">
        <v>201</v>
      </c>
      <c r="F41" s="335">
        <v>1671195.2135669601</v>
      </c>
    </row>
    <row r="42" spans="1:6">
      <c r="A42" s="1295" t="s">
        <v>32</v>
      </c>
      <c r="B42" s="1295" t="s">
        <v>34</v>
      </c>
      <c r="C42" s="335">
        <v>0</v>
      </c>
      <c r="D42" s="335">
        <v>0</v>
      </c>
      <c r="E42" s="335">
        <v>0</v>
      </c>
      <c r="F42" s="335">
        <v>0</v>
      </c>
    </row>
    <row r="43" spans="1:6">
      <c r="A43" s="1295" t="s">
        <v>32</v>
      </c>
      <c r="B43" s="1295" t="s">
        <v>35</v>
      </c>
      <c r="C43" s="335">
        <v>5</v>
      </c>
      <c r="D43" s="335">
        <v>156983204.44213399</v>
      </c>
      <c r="E43" s="335">
        <v>14</v>
      </c>
      <c r="F43" s="335">
        <v>16923800.108514</v>
      </c>
    </row>
    <row r="44" spans="1:6">
      <c r="A44" s="1295" t="s">
        <v>32</v>
      </c>
      <c r="B44" s="1295" t="s">
        <v>36</v>
      </c>
      <c r="C44" s="335">
        <v>0</v>
      </c>
      <c r="D44" s="335">
        <v>0</v>
      </c>
      <c r="E44" s="335">
        <v>14</v>
      </c>
      <c r="F44" s="335">
        <v>1314609.60982985</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156841.66205820901</v>
      </c>
      <c r="E47" s="335">
        <v>4</v>
      </c>
      <c r="F47" s="335">
        <v>119998.453172218</v>
      </c>
    </row>
    <row r="48" spans="1:6">
      <c r="A48" s="1295" t="s">
        <v>32</v>
      </c>
      <c r="B48" s="1295" t="s">
        <v>29</v>
      </c>
      <c r="C48" s="335">
        <v>61</v>
      </c>
      <c r="D48" s="335">
        <v>10086926.865504401</v>
      </c>
      <c r="E48" s="335">
        <v>109</v>
      </c>
      <c r="F48" s="335">
        <v>14726795.7130174</v>
      </c>
    </row>
    <row r="49" spans="1:6">
      <c r="A49" s="1295" t="s">
        <v>32</v>
      </c>
      <c r="B49" s="1295" t="s">
        <v>40</v>
      </c>
      <c r="C49" s="335">
        <v>0</v>
      </c>
      <c r="D49" s="335">
        <v>0</v>
      </c>
      <c r="E49" s="335">
        <v>3</v>
      </c>
      <c r="F49" s="335">
        <v>20209.343372450399</v>
      </c>
    </row>
    <row r="50" spans="1:6">
      <c r="A50" s="1295" t="s">
        <v>32</v>
      </c>
      <c r="B50" s="1295" t="s">
        <v>41</v>
      </c>
      <c r="C50" s="335">
        <v>5</v>
      </c>
      <c r="D50" s="335">
        <v>587823.97892997996</v>
      </c>
      <c r="E50" s="335">
        <v>17</v>
      </c>
      <c r="F50" s="335">
        <v>705098.69019503403</v>
      </c>
    </row>
    <row r="51" spans="1:6">
      <c r="A51" s="1295" t="s">
        <v>42</v>
      </c>
      <c r="B51" s="1295" t="s">
        <v>43</v>
      </c>
      <c r="C51" s="335">
        <v>0</v>
      </c>
      <c r="D51" s="335">
        <v>0</v>
      </c>
      <c r="E51" s="335">
        <v>111</v>
      </c>
      <c r="F51" s="335">
        <v>1735081.8091504001</v>
      </c>
    </row>
    <row r="52" spans="1:6">
      <c r="A52" s="1295" t="s">
        <v>42</v>
      </c>
      <c r="B52" s="1295" t="s">
        <v>29</v>
      </c>
      <c r="C52" s="335">
        <v>5</v>
      </c>
      <c r="D52" s="335">
        <v>707066.3309992</v>
      </c>
      <c r="E52" s="335">
        <v>34</v>
      </c>
      <c r="F52" s="335">
        <v>706059.54813490005</v>
      </c>
    </row>
    <row r="53" spans="1:6">
      <c r="A53" s="1295" t="s">
        <v>44</v>
      </c>
      <c r="B53" s="1295" t="s">
        <v>45</v>
      </c>
      <c r="C53" s="335">
        <v>122</v>
      </c>
      <c r="D53" s="335">
        <v>3361669.3222545702</v>
      </c>
      <c r="E53" s="335">
        <v>259</v>
      </c>
      <c r="F53" s="335">
        <v>1277153.66588025</v>
      </c>
    </row>
    <row r="54" spans="1:6">
      <c r="A54" s="1295" t="s">
        <v>46</v>
      </c>
      <c r="B54" s="1295" t="s">
        <v>47</v>
      </c>
      <c r="C54" s="335">
        <v>0</v>
      </c>
      <c r="D54" s="335">
        <v>0</v>
      </c>
      <c r="E54" s="335">
        <v>1</v>
      </c>
      <c r="F54" s="335">
        <v>1979875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30</v>
      </c>
      <c r="D57" s="335">
        <v>1096839.6109575899</v>
      </c>
      <c r="E57" s="335">
        <v>175</v>
      </c>
      <c r="F57" s="335">
        <v>3441679.6706007002</v>
      </c>
    </row>
    <row r="58" spans="1:6">
      <c r="A58" s="1295" t="s">
        <v>49</v>
      </c>
      <c r="B58" s="1295" t="s">
        <v>51</v>
      </c>
      <c r="C58" s="335">
        <v>6</v>
      </c>
      <c r="D58" s="335">
        <v>140734.814505499</v>
      </c>
      <c r="E58" s="335">
        <v>19</v>
      </c>
      <c r="F58" s="335">
        <v>214547.628344734</v>
      </c>
    </row>
    <row r="59" spans="1:6">
      <c r="A59" s="1295" t="s">
        <v>49</v>
      </c>
      <c r="B59" s="1295" t="s">
        <v>52</v>
      </c>
      <c r="C59" s="335">
        <v>64</v>
      </c>
      <c r="D59" s="335">
        <v>2304004.05236207</v>
      </c>
      <c r="E59" s="335">
        <v>188</v>
      </c>
      <c r="F59" s="335">
        <v>5057273.4590515699</v>
      </c>
    </row>
    <row r="60" spans="1:6">
      <c r="A60" s="1295" t="s">
        <v>49</v>
      </c>
      <c r="B60" s="1295" t="s">
        <v>53</v>
      </c>
      <c r="C60" s="335">
        <v>35</v>
      </c>
      <c r="D60" s="335">
        <v>1461716.8343269699</v>
      </c>
      <c r="E60" s="335">
        <v>65</v>
      </c>
      <c r="F60" s="335">
        <v>1146384.0664751499</v>
      </c>
    </row>
    <row r="61" spans="1:6">
      <c r="A61" s="1295" t="s">
        <v>49</v>
      </c>
      <c r="B61" s="1295" t="s">
        <v>54</v>
      </c>
      <c r="C61" s="335">
        <v>166</v>
      </c>
      <c r="D61" s="335">
        <v>13403307.427804001</v>
      </c>
      <c r="E61" s="335">
        <v>306</v>
      </c>
      <c r="F61" s="335">
        <v>4608251.1680087904</v>
      </c>
    </row>
    <row r="62" spans="1:6">
      <c r="A62" s="1295" t="s">
        <v>49</v>
      </c>
      <c r="B62" s="1295" t="s">
        <v>55</v>
      </c>
      <c r="C62" s="335">
        <v>3</v>
      </c>
      <c r="D62" s="335">
        <v>885557.61140145594</v>
      </c>
      <c r="E62" s="335">
        <v>8</v>
      </c>
      <c r="F62" s="335">
        <v>316829.03134854097</v>
      </c>
    </row>
    <row r="63" spans="1:6">
      <c r="A63" s="1295" t="s">
        <v>49</v>
      </c>
      <c r="B63" s="1295" t="s">
        <v>29</v>
      </c>
      <c r="C63" s="335">
        <v>162</v>
      </c>
      <c r="D63" s="335">
        <v>6190536.3236587103</v>
      </c>
      <c r="E63" s="335">
        <v>325</v>
      </c>
      <c r="F63" s="335">
        <v>8351097.0291858902</v>
      </c>
    </row>
    <row r="64" spans="1:6">
      <c r="A64" s="1295" t="s">
        <v>56</v>
      </c>
      <c r="B64" s="1295" t="s">
        <v>57</v>
      </c>
      <c r="C64" s="335">
        <v>0</v>
      </c>
      <c r="D64" s="335">
        <v>0</v>
      </c>
      <c r="E64" s="335">
        <v>0</v>
      </c>
      <c r="F64" s="335">
        <v>0</v>
      </c>
    </row>
    <row r="65" spans="1:6">
      <c r="A65" s="1295" t="s">
        <v>56</v>
      </c>
      <c r="B65" s="1295" t="s">
        <v>29</v>
      </c>
      <c r="C65" s="335">
        <v>0</v>
      </c>
      <c r="D65" s="335">
        <v>0</v>
      </c>
      <c r="E65" s="335">
        <v>4</v>
      </c>
      <c r="F65" s="335">
        <v>24112.377237450801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65207.718117158998</v>
      </c>
      <c r="E68" s="335">
        <v>17</v>
      </c>
      <c r="F68" s="335">
        <v>338445.41874716902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37322274</v>
      </c>
      <c r="E73" s="335">
        <v>36250710.391707979</v>
      </c>
    </row>
    <row r="74" spans="1:6">
      <c r="A74" s="1295" t="s">
        <v>64</v>
      </c>
      <c r="B74" s="1295" t="s">
        <v>727</v>
      </c>
      <c r="C74" s="1295" t="s">
        <v>728</v>
      </c>
      <c r="D74" s="335">
        <v>3830746.6078984719</v>
      </c>
      <c r="E74" s="335">
        <v>3874785.6178553286</v>
      </c>
    </row>
    <row r="75" spans="1:6">
      <c r="A75" s="1295" t="s">
        <v>65</v>
      </c>
      <c r="B75" s="1295" t="s">
        <v>725</v>
      </c>
      <c r="C75" s="1295" t="s">
        <v>729</v>
      </c>
      <c r="D75" s="335">
        <v>41229346</v>
      </c>
      <c r="E75" s="335">
        <v>38521267.721720025</v>
      </c>
    </row>
    <row r="76" spans="1:6">
      <c r="A76" s="1295" t="s">
        <v>65</v>
      </c>
      <c r="B76" s="1295" t="s">
        <v>727</v>
      </c>
      <c r="C76" s="1295" t="s">
        <v>730</v>
      </c>
      <c r="D76" s="335">
        <v>2267634.6078984719</v>
      </c>
      <c r="E76" s="335">
        <v>2051208.6929909599</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314528.78420305625</v>
      </c>
      <c r="C83" s="335">
        <v>316405.26721915358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3772.3168329999999</v>
      </c>
    </row>
    <row r="91" spans="1:6">
      <c r="A91" s="1295" t="s">
        <v>68</v>
      </c>
      <c r="B91" s="335">
        <v>4380.8109999999997</v>
      </c>
    </row>
    <row r="92" spans="1:6">
      <c r="A92" s="1291" t="s">
        <v>69</v>
      </c>
      <c r="B92" s="338">
        <v>3064.9690000000001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2964</v>
      </c>
    </row>
    <row r="98" spans="1:6">
      <c r="A98" s="1295" t="s">
        <v>72</v>
      </c>
      <c r="B98" s="335">
        <v>3</v>
      </c>
    </row>
    <row r="99" spans="1:6">
      <c r="A99" s="1295" t="s">
        <v>73</v>
      </c>
      <c r="B99" s="335">
        <v>97</v>
      </c>
    </row>
    <row r="100" spans="1:6">
      <c r="A100" s="1295" t="s">
        <v>74</v>
      </c>
      <c r="B100" s="335">
        <v>931</v>
      </c>
    </row>
    <row r="101" spans="1:6">
      <c r="A101" s="1295" t="s">
        <v>75</v>
      </c>
      <c r="B101" s="335">
        <v>139</v>
      </c>
    </row>
    <row r="102" spans="1:6">
      <c r="A102" s="1295" t="s">
        <v>76</v>
      </c>
      <c r="B102" s="335">
        <v>150</v>
      </c>
    </row>
    <row r="103" spans="1:6">
      <c r="A103" s="1295" t="s">
        <v>77</v>
      </c>
      <c r="B103" s="335">
        <v>294</v>
      </c>
    </row>
    <row r="104" spans="1:6">
      <c r="A104" s="1295" t="s">
        <v>78</v>
      </c>
      <c r="B104" s="335">
        <v>4270</v>
      </c>
    </row>
    <row r="105" spans="1:6">
      <c r="A105" s="1291" t="s">
        <v>79</v>
      </c>
      <c r="B105" s="1291">
        <v>13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16</v>
      </c>
      <c r="C123" s="335">
        <v>20</v>
      </c>
    </row>
    <row r="124" spans="1:6">
      <c r="A124" s="1291" t="s">
        <v>89</v>
      </c>
      <c r="B124" s="335">
        <v>1</v>
      </c>
      <c r="C124" s="335">
        <v>3</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173</v>
      </c>
    </row>
    <row r="130" spans="1:6">
      <c r="A130" s="1295" t="s">
        <v>295</v>
      </c>
      <c r="B130" s="335">
        <v>5</v>
      </c>
    </row>
    <row r="131" spans="1:6">
      <c r="A131" s="1295" t="s">
        <v>296</v>
      </c>
      <c r="B131" s="335">
        <v>1</v>
      </c>
    </row>
    <row r="132" spans="1:6">
      <c r="A132" s="1291" t="s">
        <v>297</v>
      </c>
      <c r="B132" s="338">
        <v>17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110841.17341949494</v>
      </c>
      <c r="C3" s="43" t="s">
        <v>170</v>
      </c>
      <c r="D3" s="43"/>
      <c r="E3" s="156"/>
      <c r="F3" s="43"/>
      <c r="G3" s="43"/>
      <c r="H3" s="43"/>
      <c r="I3" s="43"/>
      <c r="J3" s="43"/>
      <c r="K3" s="96"/>
    </row>
    <row r="4" spans="1:11">
      <c r="A4" s="366" t="s">
        <v>171</v>
      </c>
      <c r="B4" s="49">
        <f>IF(ISERROR('SEAP template'!B78+'SEAP template'!C78),0,'SEAP template'!B78+'SEAP template'!C78)</f>
        <v>12343.096833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0.19638979139304902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1979.875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1979.875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0.19638979139304902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388.82723823431292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41015.133983229898</v>
      </c>
      <c r="C5" s="17">
        <f>IF(ISERROR('Eigen informatie GS &amp; warmtenet'!B57),0,'Eigen informatie GS &amp; warmtenet'!B57)</f>
        <v>0</v>
      </c>
      <c r="D5" s="30">
        <f>(SUM(HH_hh_gas_kWh,HH_rest_gas_kWh)/1000)*0.902</f>
        <v>78497.430243083771</v>
      </c>
      <c r="E5" s="17">
        <f>B46*B57</f>
        <v>4030.3903394308004</v>
      </c>
      <c r="F5" s="17">
        <f>B51*B62</f>
        <v>56404.912993879028</v>
      </c>
      <c r="G5" s="18"/>
      <c r="H5" s="17"/>
      <c r="I5" s="17"/>
      <c r="J5" s="17">
        <f>B50*B61+C50*C61</f>
        <v>2742.0392246017454</v>
      </c>
      <c r="K5" s="17"/>
      <c r="L5" s="17"/>
      <c r="M5" s="17"/>
      <c r="N5" s="17">
        <f>B48*B59+C48*C59</f>
        <v>21651.959307255216</v>
      </c>
      <c r="O5" s="17">
        <f>B69*B70*B71</f>
        <v>306.41333333333336</v>
      </c>
      <c r="P5" s="17">
        <f>B77*B78*B79/1000-B77*B78*B79/1000/B80</f>
        <v>648.26666666666665</v>
      </c>
    </row>
    <row r="6" spans="1:16">
      <c r="A6" s="16" t="s">
        <v>634</v>
      </c>
      <c r="B6" s="783">
        <f>kWh_PV_kleiner_dan_10kW</f>
        <v>4380.8109999999997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45395.9449832299</v>
      </c>
      <c r="C8" s="21">
        <f>C5</f>
        <v>0</v>
      </c>
      <c r="D8" s="21">
        <f>D5</f>
        <v>78497.430243083771</v>
      </c>
      <c r="E8" s="21">
        <f>E5</f>
        <v>4030.3903394308004</v>
      </c>
      <c r="F8" s="21">
        <f>F5</f>
        <v>56404.912993879028</v>
      </c>
      <c r="G8" s="21"/>
      <c r="H8" s="21"/>
      <c r="I8" s="21"/>
      <c r="J8" s="21">
        <f>J5</f>
        <v>2742.0392246017454</v>
      </c>
      <c r="K8" s="21"/>
      <c r="L8" s="21">
        <f>L5</f>
        <v>0</v>
      </c>
      <c r="M8" s="21">
        <f>M5</f>
        <v>0</v>
      </c>
      <c r="N8" s="21">
        <f>N5</f>
        <v>21651.959307255216</v>
      </c>
      <c r="O8" s="21">
        <f>O5</f>
        <v>306.41333333333336</v>
      </c>
      <c r="P8" s="21">
        <f>P5</f>
        <v>648.26666666666665</v>
      </c>
    </row>
    <row r="9" spans="1:16">
      <c r="B9" s="19"/>
      <c r="C9" s="19"/>
      <c r="D9" s="261"/>
      <c r="E9" s="19"/>
      <c r="F9" s="19"/>
      <c r="G9" s="19"/>
      <c r="H9" s="19"/>
      <c r="I9" s="19"/>
      <c r="J9" s="19"/>
      <c r="K9" s="19"/>
      <c r="L9" s="19"/>
      <c r="M9" s="19"/>
      <c r="N9" s="19"/>
      <c r="O9" s="19"/>
      <c r="P9" s="19"/>
    </row>
    <row r="10" spans="1:16">
      <c r="A10" s="24" t="s">
        <v>214</v>
      </c>
      <c r="B10" s="25">
        <f ca="1">'EF ele_warmte'!B12</f>
        <v>0.19638979139304902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8915.3001653468509</v>
      </c>
      <c r="C12" s="23">
        <f ca="1">C10*C8</f>
        <v>0</v>
      </c>
      <c r="D12" s="23">
        <f>D8*D10</f>
        <v>15856.480909102922</v>
      </c>
      <c r="E12" s="23">
        <f>E10*E8</f>
        <v>914.89860705079172</v>
      </c>
      <c r="F12" s="23">
        <f>F10*F8</f>
        <v>15060.111769365702</v>
      </c>
      <c r="G12" s="23"/>
      <c r="H12" s="23"/>
      <c r="I12" s="23"/>
      <c r="J12" s="23">
        <f>J10*J8</f>
        <v>970.68188550901789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2964</v>
      </c>
      <c r="C18" s="168" t="s">
        <v>111</v>
      </c>
      <c r="D18" s="230"/>
      <c r="E18" s="15"/>
    </row>
    <row r="19" spans="1:7">
      <c r="A19" s="173" t="s">
        <v>72</v>
      </c>
      <c r="B19" s="37">
        <f>aantalw2001_ander</f>
        <v>3</v>
      </c>
      <c r="C19" s="168" t="s">
        <v>111</v>
      </c>
      <c r="D19" s="231"/>
      <c r="E19" s="15"/>
    </row>
    <row r="20" spans="1:7">
      <c r="A20" s="173" t="s">
        <v>73</v>
      </c>
      <c r="B20" s="37">
        <f>aantalw2001_propaan</f>
        <v>97</v>
      </c>
      <c r="C20" s="169">
        <f>IF(ISERROR(B20/SUM($B$20,$B$21,$B$22)*100),0,B20/SUM($B$20,$B$21,$B$22)*100)</f>
        <v>8.3119108826049697</v>
      </c>
      <c r="D20" s="231"/>
      <c r="E20" s="15"/>
    </row>
    <row r="21" spans="1:7">
      <c r="A21" s="173" t="s">
        <v>74</v>
      </c>
      <c r="B21" s="37">
        <f>aantalw2001_elektriciteit</f>
        <v>931</v>
      </c>
      <c r="C21" s="169">
        <f>IF(ISERROR(B21/SUM($B$20,$B$21,$B$22)*100),0,B21/SUM($B$20,$B$21,$B$22)*100)</f>
        <v>79.777206512425025</v>
      </c>
      <c r="D21" s="231"/>
      <c r="E21" s="15"/>
    </row>
    <row r="22" spans="1:7">
      <c r="A22" s="173" t="s">
        <v>75</v>
      </c>
      <c r="B22" s="37">
        <f>aantalw2001_hout</f>
        <v>139</v>
      </c>
      <c r="C22" s="169">
        <f>IF(ISERROR(B22/SUM($B$20,$B$21,$B$22)*100),0,B22/SUM($B$20,$B$21,$B$22)*100)</f>
        <v>11.910882604970009</v>
      </c>
      <c r="D22" s="231"/>
      <c r="E22" s="15"/>
    </row>
    <row r="23" spans="1:7">
      <c r="A23" s="173" t="s">
        <v>76</v>
      </c>
      <c r="B23" s="37">
        <f>aantalw2001_niet_gespec</f>
        <v>150</v>
      </c>
      <c r="C23" s="168" t="s">
        <v>111</v>
      </c>
      <c r="D23" s="230"/>
      <c r="E23" s="15"/>
    </row>
    <row r="24" spans="1:7">
      <c r="A24" s="173" t="s">
        <v>77</v>
      </c>
      <c r="B24" s="37">
        <f>aantalw2001_steenkool</f>
        <v>294</v>
      </c>
      <c r="C24" s="168" t="s">
        <v>111</v>
      </c>
      <c r="D24" s="231"/>
      <c r="E24" s="15"/>
    </row>
    <row r="25" spans="1:7">
      <c r="A25" s="173" t="s">
        <v>78</v>
      </c>
      <c r="B25" s="37">
        <f>aantalw2001_stookolie</f>
        <v>4270</v>
      </c>
      <c r="C25" s="168" t="s">
        <v>111</v>
      </c>
      <c r="D25" s="230"/>
      <c r="E25" s="52"/>
    </row>
    <row r="26" spans="1:7">
      <c r="A26" s="173" t="s">
        <v>79</v>
      </c>
      <c r="B26" s="37">
        <f>aantalw2001_WP</f>
        <v>13</v>
      </c>
      <c r="C26" s="168" t="s">
        <v>111</v>
      </c>
      <c r="D26" s="230"/>
      <c r="E26" s="15"/>
    </row>
    <row r="27" spans="1:7" s="15" customFormat="1">
      <c r="A27" s="173"/>
      <c r="B27" s="29"/>
      <c r="C27" s="36"/>
      <c r="D27" s="230"/>
    </row>
    <row r="28" spans="1:7" s="15" customFormat="1">
      <c r="A28" s="232" t="s">
        <v>745</v>
      </c>
      <c r="B28" s="37">
        <f>aantalHuishoudens2011</f>
        <v>9889</v>
      </c>
      <c r="C28" s="36"/>
      <c r="D28" s="230"/>
    </row>
    <row r="29" spans="1:7" s="15" customFormat="1">
      <c r="A29" s="232" t="s">
        <v>746</v>
      </c>
      <c r="B29" s="37">
        <f>SUM(HH_hh_gas_aantal,HH_rest_gas_aantal)</f>
        <v>5230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5230</v>
      </c>
      <c r="C32" s="169">
        <f>IF(ISERROR(B32/SUM($B$32,$B$34,$B$35,$B$36,$B$38,$B$39)*100),0,B32/SUM($B$32,$B$34,$B$35,$B$36,$B$38,$B$39)*100)</f>
        <v>53.069507864028409</v>
      </c>
      <c r="D32" s="235"/>
      <c r="G32" s="15"/>
    </row>
    <row r="33" spans="1:7">
      <c r="A33" s="173" t="s">
        <v>72</v>
      </c>
      <c r="B33" s="34" t="s">
        <v>111</v>
      </c>
      <c r="C33" s="169"/>
      <c r="D33" s="235"/>
      <c r="G33" s="15"/>
    </row>
    <row r="34" spans="1:7">
      <c r="A34" s="173" t="s">
        <v>73</v>
      </c>
      <c r="B34" s="33">
        <f>IF((($B$28-$B$32-$B$39-$B$77-$B$38)*C20/100)&lt;0,0,($B$28-$B$32-$B$39-$B$77-$B$38)*C20/100)</f>
        <v>193.41816623821762</v>
      </c>
      <c r="C34" s="169">
        <f>IF(ISERROR(B34/SUM($B$32,$B$34,$B$35,$B$36,$B$38,$B$39)*100),0,B34/SUM($B$32,$B$34,$B$35,$B$36,$B$38,$B$39)*100)</f>
        <v>1.9626399415344256</v>
      </c>
      <c r="D34" s="235"/>
      <c r="G34" s="15"/>
    </row>
    <row r="35" spans="1:7">
      <c r="A35" s="173" t="s">
        <v>74</v>
      </c>
      <c r="B35" s="33">
        <f>IF((($B$28-$B$32-$B$39-$B$77-$B$38)*C21/100)&lt;0,0,($B$28-$B$32-$B$39-$B$77-$B$38)*C21/100)</f>
        <v>1856.4155955441302</v>
      </c>
      <c r="C35" s="169">
        <f>IF(ISERROR(B35/SUM($B$32,$B$34,$B$35,$B$36,$B$38,$B$39)*100),0,B35/SUM($B$32,$B$34,$B$35,$B$36,$B$38,$B$39)*100)</f>
        <v>18.837296758438661</v>
      </c>
      <c r="D35" s="235"/>
      <c r="G35" s="15"/>
    </row>
    <row r="36" spans="1:7">
      <c r="A36" s="173" t="s">
        <v>75</v>
      </c>
      <c r="B36" s="33">
        <f>IF((($B$28-$B$32-$B$39-$B$77-$B$38)*C22/100)&lt;0,0,($B$28-$B$32-$B$39-$B$77-$B$38)*C22/100)</f>
        <v>277.16623821765211</v>
      </c>
      <c r="C36" s="169">
        <f>IF(ISERROR(B36/SUM($B$32,$B$34,$B$35,$B$36,$B$38,$B$39)*100),0,B36/SUM($B$32,$B$34,$B$35,$B$36,$B$38,$B$39)*100)</f>
        <v>2.8124428028173729</v>
      </c>
      <c r="D36" s="235"/>
      <c r="G36" s="15"/>
    </row>
    <row r="37" spans="1:7">
      <c r="A37" s="173" t="s">
        <v>76</v>
      </c>
      <c r="B37" s="34" t="s">
        <v>111</v>
      </c>
      <c r="C37" s="169"/>
      <c r="D37" s="175"/>
      <c r="G37" s="15"/>
    </row>
    <row r="38" spans="1:7">
      <c r="A38" s="173" t="s">
        <v>77</v>
      </c>
      <c r="B38" s="33">
        <f>IF((B24-(B29-B18)*0.1)&lt;0,0,B24-(B29-B18)*0.1)</f>
        <v>67.399999999999977</v>
      </c>
      <c r="C38" s="169">
        <f>IF(ISERROR(B38/SUM($B$32,$B$34,$B$35,$B$36,$B$38,$B$39)*100),0,B38/SUM($B$32,$B$34,$B$35,$B$36,$B$38,$B$39)*100)</f>
        <v>0.68391679350583434</v>
      </c>
      <c r="D38" s="236"/>
      <c r="G38" s="15"/>
    </row>
    <row r="39" spans="1:7">
      <c r="A39" s="173" t="s">
        <v>78</v>
      </c>
      <c r="B39" s="33">
        <f>IF((B25-(B29-B18))&lt;0,0,B25-(B29-B18)*0.9)</f>
        <v>2230.6</v>
      </c>
      <c r="C39" s="169">
        <f>IF(ISERROR(B39/SUM($B$32,$B$34,$B$35,$B$36,$B$38,$B$39)*100),0,B39/SUM($B$32,$B$34,$B$35,$B$36,$B$38,$B$39)*100)</f>
        <v>22.634195839675293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5230</v>
      </c>
      <c r="C44" s="34" t="s">
        <v>111</v>
      </c>
      <c r="D44" s="176"/>
    </row>
    <row r="45" spans="1:7">
      <c r="A45" s="173" t="s">
        <v>72</v>
      </c>
      <c r="B45" s="33" t="str">
        <f t="shared" si="0"/>
        <v>-</v>
      </c>
      <c r="C45" s="34" t="s">
        <v>111</v>
      </c>
      <c r="D45" s="176"/>
    </row>
    <row r="46" spans="1:7">
      <c r="A46" s="173" t="s">
        <v>73</v>
      </c>
      <c r="B46" s="33">
        <f t="shared" si="0"/>
        <v>193.41816623821762</v>
      </c>
      <c r="C46" s="34" t="s">
        <v>111</v>
      </c>
      <c r="D46" s="176"/>
    </row>
    <row r="47" spans="1:7">
      <c r="A47" s="173" t="s">
        <v>74</v>
      </c>
      <c r="B47" s="33">
        <f t="shared" si="0"/>
        <v>1856.4155955441302</v>
      </c>
      <c r="C47" s="34" t="s">
        <v>111</v>
      </c>
      <c r="D47" s="176"/>
    </row>
    <row r="48" spans="1:7">
      <c r="A48" s="173" t="s">
        <v>75</v>
      </c>
      <c r="B48" s="33">
        <f t="shared" si="0"/>
        <v>277.16623821765211</v>
      </c>
      <c r="C48" s="33">
        <f>B48*10</f>
        <v>2771.6623821765211</v>
      </c>
      <c r="D48" s="236"/>
    </row>
    <row r="49" spans="1:6">
      <c r="A49" s="173" t="s">
        <v>76</v>
      </c>
      <c r="B49" s="33" t="str">
        <f t="shared" si="0"/>
        <v>-</v>
      </c>
      <c r="C49" s="34" t="s">
        <v>111</v>
      </c>
      <c r="D49" s="236"/>
    </row>
    <row r="50" spans="1:6">
      <c r="A50" s="173" t="s">
        <v>77</v>
      </c>
      <c r="B50" s="33">
        <f t="shared" si="0"/>
        <v>67.399999999999977</v>
      </c>
      <c r="C50" s="33">
        <f>B50*2</f>
        <v>134.79999999999995</v>
      </c>
      <c r="D50" s="236"/>
    </row>
    <row r="51" spans="1:6">
      <c r="A51" s="173" t="s">
        <v>78</v>
      </c>
      <c r="B51" s="33">
        <f t="shared" si="0"/>
        <v>2230.6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196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23136.062053015376</v>
      </c>
      <c r="C5" s="17">
        <f>IF(ISERROR('Eigen informatie GS &amp; warmtenet'!B58),0,'Eigen informatie GS &amp; warmtenet'!B58)</f>
        <v>0</v>
      </c>
      <c r="D5" s="30">
        <f>SUM(D6:D12)</f>
        <v>22985.392400864697</v>
      </c>
      <c r="E5" s="17">
        <f>SUM(E6:E12)</f>
        <v>273.01813014641709</v>
      </c>
      <c r="F5" s="17">
        <f>SUM(F6:F12)</f>
        <v>4740.3881137658436</v>
      </c>
      <c r="G5" s="18"/>
      <c r="H5" s="17"/>
      <c r="I5" s="17"/>
      <c r="J5" s="17">
        <f>SUM(J6:J12)</f>
        <v>0</v>
      </c>
      <c r="K5" s="17"/>
      <c r="L5" s="17"/>
      <c r="M5" s="17"/>
      <c r="N5" s="17">
        <f>SUM(N6:N12)</f>
        <v>3078.7653306178063</v>
      </c>
      <c r="O5" s="17">
        <f>B38*B39*B40</f>
        <v>7.8166666666666664</v>
      </c>
      <c r="P5" s="17">
        <f>B46*B47*B48/1000-B46*B47*B48/1000/B49</f>
        <v>19.066666666666666</v>
      </c>
      <c r="R5" s="32"/>
    </row>
    <row r="6" spans="1:18">
      <c r="A6" s="32" t="s">
        <v>54</v>
      </c>
      <c r="B6" s="37">
        <f>B26</f>
        <v>4608.25116800879</v>
      </c>
      <c r="C6" s="33"/>
      <c r="D6" s="37">
        <f>IF(ISERROR(TER_kantoor_gas_kWh/1000),0,TER_kantoor_gas_kWh/1000)*0.902</f>
        <v>12089.783299879209</v>
      </c>
      <c r="E6" s="33">
        <f>$C$26*'E Balans VL '!I12/100/3.6*1000000</f>
        <v>17.904031411330976</v>
      </c>
      <c r="F6" s="33">
        <f>$C$26*('E Balans VL '!L12+'E Balans VL '!N12)/100/3.6*1000000</f>
        <v>700.87307091159687</v>
      </c>
      <c r="G6" s="34"/>
      <c r="H6" s="33"/>
      <c r="I6" s="33"/>
      <c r="J6" s="33">
        <f>$C$26*('E Balans VL '!D12+'E Balans VL '!E12)/100/3.6*1000000</f>
        <v>0</v>
      </c>
      <c r="K6" s="33"/>
      <c r="L6" s="33"/>
      <c r="M6" s="33"/>
      <c r="N6" s="33">
        <f>$C$26*'E Balans VL '!Y12/100/3.6*1000000</f>
        <v>2.5396984484673468</v>
      </c>
      <c r="O6" s="33"/>
      <c r="P6" s="33"/>
      <c r="R6" s="32"/>
    </row>
    <row r="7" spans="1:18">
      <c r="A7" s="32" t="s">
        <v>53</v>
      </c>
      <c r="B7" s="37">
        <f t="shared" ref="B7:B12" si="0">B27</f>
        <v>1146.3840664751499</v>
      </c>
      <c r="C7" s="33"/>
      <c r="D7" s="37">
        <f>IF(ISERROR(TER_horeca_gas_kWh/1000),0,TER_horeca_gas_kWh/1000)*0.902</f>
        <v>1318.4685845629269</v>
      </c>
      <c r="E7" s="33">
        <f>$C$27*'E Balans VL '!I9/100/3.6*1000000</f>
        <v>64.576120956864159</v>
      </c>
      <c r="F7" s="33">
        <f>$C$27*('E Balans VL '!L9+'E Balans VL '!N9)/100/3.6*1000000</f>
        <v>330.54853215843934</v>
      </c>
      <c r="G7" s="34"/>
      <c r="H7" s="33"/>
      <c r="I7" s="33"/>
      <c r="J7" s="33">
        <f>$C$27*('E Balans VL '!D9+'E Balans VL '!E9)/100/3.6*1000000</f>
        <v>0</v>
      </c>
      <c r="K7" s="33"/>
      <c r="L7" s="33"/>
      <c r="M7" s="33"/>
      <c r="N7" s="33">
        <f>$C$27*'E Balans VL '!Y9/100/3.6*1000000</f>
        <v>0.31651068358168749</v>
      </c>
      <c r="O7" s="33"/>
      <c r="P7" s="33"/>
      <c r="R7" s="32"/>
    </row>
    <row r="8" spans="1:18">
      <c r="A8" s="6" t="s">
        <v>52</v>
      </c>
      <c r="B8" s="37">
        <f t="shared" si="0"/>
        <v>5057.2734590515702</v>
      </c>
      <c r="C8" s="33"/>
      <c r="D8" s="37">
        <f>IF(ISERROR(TER_handel_gas_kWh/1000),0,TER_handel_gas_kWh/1000)*0.902</f>
        <v>2078.2116552305874</v>
      </c>
      <c r="E8" s="33">
        <f>$C$28*'E Balans VL '!I13/100/3.6*1000000</f>
        <v>72.892468167013647</v>
      </c>
      <c r="F8" s="33">
        <f>$C$28*('E Balans VL '!L13+'E Balans VL '!N13)/100/3.6*1000000</f>
        <v>878.56617578873306</v>
      </c>
      <c r="G8" s="34"/>
      <c r="H8" s="33"/>
      <c r="I8" s="33"/>
      <c r="J8" s="33">
        <f>$C$28*('E Balans VL '!D13+'E Balans VL '!E13)/100/3.6*1000000</f>
        <v>0</v>
      </c>
      <c r="K8" s="33"/>
      <c r="L8" s="33"/>
      <c r="M8" s="33"/>
      <c r="N8" s="33">
        <f>$C$28*'E Balans VL '!Y13/100/3.6*1000000</f>
        <v>15.152154270597592</v>
      </c>
      <c r="O8" s="33"/>
      <c r="P8" s="33"/>
      <c r="R8" s="32"/>
    </row>
    <row r="9" spans="1:18">
      <c r="A9" s="32" t="s">
        <v>51</v>
      </c>
      <c r="B9" s="37">
        <f t="shared" si="0"/>
        <v>214.54762834473399</v>
      </c>
      <c r="C9" s="33"/>
      <c r="D9" s="37">
        <f>IF(ISERROR(TER_gezond_gas_kWh/1000),0,TER_gezond_gas_kWh/1000)*0.902</f>
        <v>126.94280268396011</v>
      </c>
      <c r="E9" s="33">
        <f>$C$29*'E Balans VL '!I10/100/3.6*1000000</f>
        <v>0.22919247577527793</v>
      </c>
      <c r="F9" s="33">
        <f>$C$29*('E Balans VL '!L10+'E Balans VL '!N10)/100/3.6*1000000</f>
        <v>34.999238530129098</v>
      </c>
      <c r="G9" s="34"/>
      <c r="H9" s="33"/>
      <c r="I9" s="33"/>
      <c r="J9" s="33">
        <f>$C$29*('E Balans VL '!D10+'E Balans VL '!E10)/100/3.6*1000000</f>
        <v>0</v>
      </c>
      <c r="K9" s="33"/>
      <c r="L9" s="33"/>
      <c r="M9" s="33"/>
      <c r="N9" s="33">
        <f>$C$29*'E Balans VL '!Y10/100/3.6*1000000</f>
        <v>2.2086454153745887</v>
      </c>
      <c r="O9" s="33"/>
      <c r="P9" s="33"/>
      <c r="R9" s="32"/>
    </row>
    <row r="10" spans="1:18">
      <c r="A10" s="32" t="s">
        <v>50</v>
      </c>
      <c r="B10" s="37">
        <f t="shared" si="0"/>
        <v>3441.6796706007003</v>
      </c>
      <c r="C10" s="33"/>
      <c r="D10" s="37">
        <f>IF(ISERROR(TER_ander_gas_kWh/1000),0,TER_ander_gas_kWh/1000)*0.902</f>
        <v>989.34932908374617</v>
      </c>
      <c r="E10" s="33">
        <f>$C$30*'E Balans VL '!I14/100/3.6*1000000</f>
        <v>15.827761286752049</v>
      </c>
      <c r="F10" s="33">
        <f>$C$30*('E Balans VL '!L14+'E Balans VL '!N14)/100/3.6*1000000</f>
        <v>1031.5799576130585</v>
      </c>
      <c r="G10" s="34"/>
      <c r="H10" s="33"/>
      <c r="I10" s="33"/>
      <c r="J10" s="33">
        <f>$C$30*('E Balans VL '!D14+'E Balans VL '!E14)/100/3.6*1000000</f>
        <v>0</v>
      </c>
      <c r="K10" s="33"/>
      <c r="L10" s="33"/>
      <c r="M10" s="33"/>
      <c r="N10" s="33">
        <f>$C$30*'E Balans VL '!Y14/100/3.6*1000000</f>
        <v>2395.636238658713</v>
      </c>
      <c r="O10" s="33"/>
      <c r="P10" s="33"/>
      <c r="R10" s="32"/>
    </row>
    <row r="11" spans="1:18">
      <c r="A11" s="32" t="s">
        <v>55</v>
      </c>
      <c r="B11" s="37">
        <f t="shared" si="0"/>
        <v>316.82903134854098</v>
      </c>
      <c r="C11" s="33"/>
      <c r="D11" s="37">
        <f>IF(ISERROR(TER_onderwijs_gas_kWh/1000),0,TER_onderwijs_gas_kWh/1000)*0.902</f>
        <v>798.77296548411323</v>
      </c>
      <c r="E11" s="33">
        <f>$C$31*'E Balans VL '!I11/100/3.6*1000000</f>
        <v>0.29390059237459015</v>
      </c>
      <c r="F11" s="33">
        <f>$C$31*('E Balans VL '!L11+'E Balans VL '!N11)/100/3.6*1000000</f>
        <v>111.29475692099014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8351.0970291858903</v>
      </c>
      <c r="C12" s="33"/>
      <c r="D12" s="37">
        <f>IF(ISERROR(TER_rest_gas_kWh/1000),0,TER_rest_gas_kWh/1000)*0.902</f>
        <v>5583.8637639401568</v>
      </c>
      <c r="E12" s="33">
        <f>$C$32*'E Balans VL '!I8/100/3.6*1000000</f>
        <v>101.29465525630638</v>
      </c>
      <c r="F12" s="33">
        <f>$C$32*('E Balans VL '!L8+'E Balans VL '!N8)/100/3.6*1000000</f>
        <v>1652.5263818428964</v>
      </c>
      <c r="G12" s="34"/>
      <c r="H12" s="33"/>
      <c r="I12" s="33"/>
      <c r="J12" s="33">
        <f>$C$32*('E Balans VL '!D8+'E Balans VL '!E8)/100/3.6*1000000</f>
        <v>0</v>
      </c>
      <c r="K12" s="33"/>
      <c r="L12" s="33"/>
      <c r="M12" s="33"/>
      <c r="N12" s="33">
        <f>$C$32*'E Balans VL '!Y8/100/3.6*1000000</f>
        <v>662.91208314107212</v>
      </c>
      <c r="O12" s="33"/>
      <c r="P12" s="33"/>
      <c r="R12" s="32"/>
    </row>
    <row r="13" spans="1:18">
      <c r="A13" s="16" t="s">
        <v>497</v>
      </c>
      <c r="B13" s="249">
        <f ca="1">'lokale energieproductie'!N91+'lokale energieproductie'!N60</f>
        <v>1125</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-3214.2857142857147</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24261.062053015376</v>
      </c>
      <c r="C16" s="21">
        <f t="shared" ca="1" si="1"/>
        <v>0</v>
      </c>
      <c r="D16" s="21">
        <f t="shared" ca="1" si="1"/>
        <v>22985.392400864697</v>
      </c>
      <c r="E16" s="21">
        <f t="shared" si="1"/>
        <v>273.01813014641709</v>
      </c>
      <c r="F16" s="21">
        <f t="shared" ca="1" si="1"/>
        <v>4740.3881137658436</v>
      </c>
      <c r="G16" s="21">
        <f t="shared" si="1"/>
        <v>0</v>
      </c>
      <c r="H16" s="21">
        <f t="shared" si="1"/>
        <v>0</v>
      </c>
      <c r="I16" s="21">
        <f t="shared" si="1"/>
        <v>0</v>
      </c>
      <c r="J16" s="21">
        <f t="shared" si="1"/>
        <v>0</v>
      </c>
      <c r="K16" s="21">
        <f t="shared" si="1"/>
        <v>0</v>
      </c>
      <c r="L16" s="21">
        <f t="shared" ca="1" si="1"/>
        <v>0</v>
      </c>
      <c r="M16" s="21">
        <f t="shared" si="1"/>
        <v>0</v>
      </c>
      <c r="N16" s="21">
        <f t="shared" ca="1" si="1"/>
        <v>0</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0.19638979139304902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4764.6249155655069</v>
      </c>
      <c r="C20" s="23">
        <f t="shared" ref="C20:P20" ca="1" si="2">C16*C18</f>
        <v>0</v>
      </c>
      <c r="D20" s="23">
        <f t="shared" ca="1" si="2"/>
        <v>4643.0492649746693</v>
      </c>
      <c r="E20" s="23">
        <f t="shared" si="2"/>
        <v>61.975115543236683</v>
      </c>
      <c r="F20" s="23">
        <f t="shared" ca="1" si="2"/>
        <v>1265.6836263754803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4608.25116800879</v>
      </c>
      <c r="C26" s="39">
        <f>IF(ISERROR(B26*3.6/1000000/'E Balans VL '!Z12*100),0,B26*3.6/1000000/'E Balans VL '!Z12*100)</f>
        <v>9.7881537439397384E-2</v>
      </c>
      <c r="D26" s="239" t="s">
        <v>692</v>
      </c>
      <c r="F26" s="6"/>
    </row>
    <row r="27" spans="1:18">
      <c r="A27" s="233" t="s">
        <v>53</v>
      </c>
      <c r="B27" s="33">
        <f>IF(ISERROR(TER_horeca_ele_kWh/1000),0,TER_horeca_ele_kWh/1000)</f>
        <v>1146.3840664751499</v>
      </c>
      <c r="C27" s="39">
        <f>IF(ISERROR(B27*3.6/1000000/'E Balans VL '!Z9*100),0,B27*3.6/1000000/'E Balans VL '!Z9*100)</f>
        <v>8.9138342737164783E-2</v>
      </c>
      <c r="D27" s="239" t="s">
        <v>692</v>
      </c>
      <c r="F27" s="6"/>
    </row>
    <row r="28" spans="1:18">
      <c r="A28" s="173" t="s">
        <v>52</v>
      </c>
      <c r="B28" s="33">
        <f>IF(ISERROR(TER_handel_ele_kWh/1000),0,TER_handel_ele_kWh/1000)</f>
        <v>5057.2734590515702</v>
      </c>
      <c r="C28" s="39">
        <f>IF(ISERROR(B28*3.6/1000000/'E Balans VL '!Z13*100),0,B28*3.6/1000000/'E Balans VL '!Z13*100)</f>
        <v>0.1446945454789364</v>
      </c>
      <c r="D28" s="239" t="s">
        <v>692</v>
      </c>
      <c r="F28" s="6"/>
    </row>
    <row r="29" spans="1:18">
      <c r="A29" s="233" t="s">
        <v>51</v>
      </c>
      <c r="B29" s="33">
        <f>IF(ISERROR(TER_gezond_ele_kWh/1000),0,TER_gezond_ele_kWh/1000)</f>
        <v>214.54762834473399</v>
      </c>
      <c r="C29" s="39">
        <f>IF(ISERROR(B29*3.6/1000000/'E Balans VL '!Z10*100),0,B29*3.6/1000000/'E Balans VL '!Z10*100)</f>
        <v>2.3390676978539943E-2</v>
      </c>
      <c r="D29" s="239" t="s">
        <v>692</v>
      </c>
      <c r="F29" s="6"/>
    </row>
    <row r="30" spans="1:18">
      <c r="A30" s="233" t="s">
        <v>50</v>
      </c>
      <c r="B30" s="33">
        <f>IF(ISERROR(TER_ander_ele_kWh/1000),0,TER_ander_ele_kWh/1000)</f>
        <v>3441.6796706007003</v>
      </c>
      <c r="C30" s="39">
        <f>IF(ISERROR(B30*3.6/1000000/'E Balans VL '!Z14*100),0,B30*3.6/1000000/'E Balans VL '!Z14*100)</f>
        <v>0.25185431102930117</v>
      </c>
      <c r="D30" s="239" t="s">
        <v>692</v>
      </c>
      <c r="F30" s="6"/>
    </row>
    <row r="31" spans="1:18">
      <c r="A31" s="233" t="s">
        <v>55</v>
      </c>
      <c r="B31" s="33">
        <f>IF(ISERROR(TER_onderwijs_ele_kWh/1000),0,TER_onderwijs_ele_kWh/1000)</f>
        <v>316.82903134854098</v>
      </c>
      <c r="C31" s="39">
        <f>IF(ISERROR(B31*3.6/1000000/'E Balans VL '!Z11*100),0,B31*3.6/1000000/'E Balans VL '!Z11*100)</f>
        <v>6.3635346217105565E-2</v>
      </c>
      <c r="D31" s="239" t="s">
        <v>692</v>
      </c>
    </row>
    <row r="32" spans="1:18">
      <c r="A32" s="233" t="s">
        <v>260</v>
      </c>
      <c r="B32" s="33">
        <f>IF(ISERROR(TER_rest_ele_kWh/1000),0,TER_rest_ele_kWh/1000)</f>
        <v>8351.0970291858903</v>
      </c>
      <c r="C32" s="39">
        <f>IF(ISERROR(B32*3.6/1000000/'E Balans VL '!Z8*100),0,B32*3.6/1000000/'E Balans VL '!Z8*100)</f>
        <v>6.8056372764580167E-2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35481.707131667914</v>
      </c>
      <c r="C5" s="17">
        <f>IF(ISERROR('Eigen informatie GS &amp; warmtenet'!B59),0,'Eigen informatie GS &amp; warmtenet'!B59)</f>
        <v>0</v>
      </c>
      <c r="D5" s="30">
        <f>SUM(D6:D15)</f>
        <v>152356.8574948592</v>
      </c>
      <c r="E5" s="17">
        <f>SUM(E6:E15)</f>
        <v>1370.4635649564982</v>
      </c>
      <c r="F5" s="17">
        <f>SUM(F6:F15)</f>
        <v>5973.3992867934248</v>
      </c>
      <c r="G5" s="18"/>
      <c r="H5" s="17"/>
      <c r="I5" s="17"/>
      <c r="J5" s="17">
        <f>SUM(J6:J15)</f>
        <v>37.75503112489924</v>
      </c>
      <c r="K5" s="17"/>
      <c r="L5" s="17"/>
      <c r="M5" s="17"/>
      <c r="N5" s="17">
        <f>SUM(N6:N15)</f>
        <v>3935.2027742826754</v>
      </c>
      <c r="O5" s="17">
        <f>B43*B44*B45</f>
        <v>0</v>
      </c>
      <c r="P5" s="17">
        <f>B51*B52*B53/1000-B51*B52*B53/1000/B54</f>
        <v>0</v>
      </c>
      <c r="R5" s="32"/>
    </row>
    <row r="6" spans="1:18">
      <c r="A6" s="6" t="s">
        <v>35</v>
      </c>
      <c r="B6" s="37">
        <f>IF( ISERROR(IND_ijzer_ele_kWh/1000),0,IND_ijzer_ele_kWh/1000)</f>
        <v>16923.800108513999</v>
      </c>
      <c r="C6" s="33"/>
      <c r="D6" s="37">
        <f>IF( ISERROR(IND_ijzer_gas_kWh/1000),0,IND_ijzer_gas_kWh/1000)*0.902</f>
        <v>141598.85040680485</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1314.6096098298501</v>
      </c>
      <c r="C8" s="33"/>
      <c r="D8" s="37">
        <f>IF( ISERROR(IND_metaal_Gas_kWH/1000),0,IND_metaal_Gas_kWH/1000)*0.902</f>
        <v>0</v>
      </c>
      <c r="E8" s="33">
        <f>C30*'E Balans VL '!I18/100/3.6*1000000</f>
        <v>37.760522433438716</v>
      </c>
      <c r="F8" s="33">
        <f>C30*'E Balans VL '!L18/100/3.6*1000000+C30*'E Balans VL '!N18/100/3.6*1000000</f>
        <v>337.17208134502431</v>
      </c>
      <c r="G8" s="34"/>
      <c r="H8" s="33"/>
      <c r="I8" s="33"/>
      <c r="J8" s="40">
        <f>C30*'E Balans VL '!D18/100/3.6*1000000+C30*'E Balans VL '!E18/100/3.6*1000000</f>
        <v>0</v>
      </c>
      <c r="K8" s="33"/>
      <c r="L8" s="33"/>
      <c r="M8" s="33"/>
      <c r="N8" s="33">
        <f>C30*'E Balans VL '!Y18/100/3.6*1000000</f>
        <v>35.694334405286035</v>
      </c>
      <c r="O8" s="33"/>
      <c r="P8" s="33"/>
      <c r="R8" s="32"/>
    </row>
    <row r="9" spans="1:18">
      <c r="A9" s="6" t="s">
        <v>33</v>
      </c>
      <c r="B9" s="37">
        <f t="shared" si="0"/>
        <v>1671.1952135669601</v>
      </c>
      <c r="C9" s="33"/>
      <c r="D9" s="37">
        <f>IF( ISERROR(IND_andere_gas_kWh/1000),0,IND_andere_gas_kWh/1000)*0.902</f>
        <v>987.91064719802091</v>
      </c>
      <c r="E9" s="33">
        <f>C31*'E Balans VL '!I19/100/3.6*1000000</f>
        <v>452.35145456826734</v>
      </c>
      <c r="F9" s="33">
        <f>C31*'E Balans VL '!L19/100/3.6*1000000+C31*'E Balans VL '!N19/100/3.6*1000000</f>
        <v>1113.192861631305</v>
      </c>
      <c r="G9" s="34"/>
      <c r="H9" s="33"/>
      <c r="I9" s="33"/>
      <c r="J9" s="40">
        <f>C31*'E Balans VL '!D19/100/3.6*1000000+C31*'E Balans VL '!E19/100/3.6*1000000</f>
        <v>0</v>
      </c>
      <c r="K9" s="33"/>
      <c r="L9" s="33"/>
      <c r="M9" s="33"/>
      <c r="N9" s="33">
        <f>C31*'E Balans VL '!Y19/100/3.6*1000000</f>
        <v>545.61747630047398</v>
      </c>
      <c r="O9" s="33"/>
      <c r="P9" s="33"/>
      <c r="R9" s="32"/>
    </row>
    <row r="10" spans="1:18">
      <c r="A10" s="6" t="s">
        <v>41</v>
      </c>
      <c r="B10" s="37">
        <f t="shared" si="0"/>
        <v>705.09869019503401</v>
      </c>
      <c r="C10" s="33"/>
      <c r="D10" s="37">
        <f>IF( ISERROR(IND_voed_gas_kWh/1000),0,IND_voed_gas_kWh/1000)*0.902</f>
        <v>530.21722899484189</v>
      </c>
      <c r="E10" s="33">
        <f>C32*'E Balans VL '!I20/100/3.6*1000000</f>
        <v>57.509469094395136</v>
      </c>
      <c r="F10" s="33">
        <f>C32*'E Balans VL '!L20/100/3.6*1000000+C32*'E Balans VL '!N20/100/3.6*1000000</f>
        <v>1051.3661192392933</v>
      </c>
      <c r="G10" s="34"/>
      <c r="H10" s="33"/>
      <c r="I10" s="33"/>
      <c r="J10" s="40">
        <f>C32*'E Balans VL '!D20/100/3.6*1000000+C32*'E Balans VL '!E20/100/3.6*1000000</f>
        <v>9.3275997962865582E-3</v>
      </c>
      <c r="K10" s="33"/>
      <c r="L10" s="33"/>
      <c r="M10" s="33"/>
      <c r="N10" s="33">
        <f>C32*'E Balans VL '!Y20/100/3.6*1000000</f>
        <v>207.13311492930814</v>
      </c>
      <c r="O10" s="33"/>
      <c r="P10" s="33"/>
      <c r="R10" s="32"/>
    </row>
    <row r="11" spans="1:18">
      <c r="A11" s="6" t="s">
        <v>40</v>
      </c>
      <c r="B11" s="37">
        <f t="shared" si="0"/>
        <v>20.209343372450398</v>
      </c>
      <c r="C11" s="33"/>
      <c r="D11" s="37">
        <f>IF( ISERROR(IND_textiel_gas_kWh/1000),0,IND_textiel_gas_kWh/1000)*0.902</f>
        <v>0</v>
      </c>
      <c r="E11" s="33">
        <f>C33*'E Balans VL '!I21/100/3.6*1000000</f>
        <v>4.0059053337192429E-3</v>
      </c>
      <c r="F11" s="33">
        <f>C33*'E Balans VL '!L21/100/3.6*1000000+C33*'E Balans VL '!N21/100/3.6*1000000</f>
        <v>0.74433449905796412</v>
      </c>
      <c r="G11" s="34"/>
      <c r="H11" s="33"/>
      <c r="I11" s="33"/>
      <c r="J11" s="40">
        <f>C33*'E Balans VL '!D21/100/3.6*1000000+C33*'E Balans VL '!E21/100/3.6*1000000</f>
        <v>0</v>
      </c>
      <c r="K11" s="33"/>
      <c r="L11" s="33"/>
      <c r="M11" s="33"/>
      <c r="N11" s="33">
        <f>C33*'E Balans VL '!Y21/100/3.6*1000000</f>
        <v>9.3968344997933578E-2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119.99845317221799</v>
      </c>
      <c r="C13" s="33"/>
      <c r="D13" s="37">
        <f>IF( ISERROR(IND_papier_gas_kWh/1000),0,IND_papier_gas_kWh/1000)*0.902</f>
        <v>141.47117917650453</v>
      </c>
      <c r="E13" s="33">
        <f>C35*'E Balans VL '!I23/100/3.6*1000000</f>
        <v>1.2572024074813821</v>
      </c>
      <c r="F13" s="33">
        <f>C35*'E Balans VL '!L23/100/3.6*1000000+C35*'E Balans VL '!N23/100/3.6*1000000</f>
        <v>8.9543058449606985</v>
      </c>
      <c r="G13" s="34"/>
      <c r="H13" s="33"/>
      <c r="I13" s="33"/>
      <c r="J13" s="40">
        <f>C35*'E Balans VL '!D23/100/3.6*1000000+C35*'E Balans VL '!E23/100/3.6*1000000</f>
        <v>0</v>
      </c>
      <c r="K13" s="33"/>
      <c r="L13" s="33"/>
      <c r="M13" s="33"/>
      <c r="N13" s="33">
        <f>C35*'E Balans VL '!Y23/100/3.6*1000000</f>
        <v>256.48416859763461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14726.7957130174</v>
      </c>
      <c r="C15" s="33"/>
      <c r="D15" s="37">
        <f>IF( ISERROR(IND_rest_gas_kWh/1000),0,IND_rest_gas_kWh/1000)*0.902</f>
        <v>9098.4080326849707</v>
      </c>
      <c r="E15" s="33">
        <f>C37*'E Balans VL '!I15/100/3.6*1000000</f>
        <v>821.58091054758188</v>
      </c>
      <c r="F15" s="33">
        <f>C37*'E Balans VL '!L15/100/3.6*1000000+C37*'E Balans VL '!N15/100/3.6*1000000</f>
        <v>3461.9695842337837</v>
      </c>
      <c r="G15" s="34"/>
      <c r="H15" s="33"/>
      <c r="I15" s="33"/>
      <c r="J15" s="40">
        <f>C37*'E Balans VL '!D15/100/3.6*1000000+C37*'E Balans VL '!E15/100/3.6*1000000</f>
        <v>37.745703525102954</v>
      </c>
      <c r="K15" s="33"/>
      <c r="L15" s="33"/>
      <c r="M15" s="33"/>
      <c r="N15" s="33">
        <f>C37*'E Balans VL '!Y15/100/3.6*1000000</f>
        <v>2890.1797117049746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35481.707131667914</v>
      </c>
      <c r="C18" s="21">
        <f>C5+C16</f>
        <v>0</v>
      </c>
      <c r="D18" s="21">
        <f>MAX((D5+D16),0)</f>
        <v>152356.8574948592</v>
      </c>
      <c r="E18" s="21">
        <f>MAX((E5+E16),0)</f>
        <v>1370.4635649564982</v>
      </c>
      <c r="F18" s="21">
        <f>MAX((F5+F16),0)</f>
        <v>5973.3992867934248</v>
      </c>
      <c r="G18" s="21"/>
      <c r="H18" s="21"/>
      <c r="I18" s="21"/>
      <c r="J18" s="21">
        <f>MAX((J5+J16),0)</f>
        <v>37.75503112489924</v>
      </c>
      <c r="K18" s="21"/>
      <c r="L18" s="21">
        <f>MAX((L5+L16),0)</f>
        <v>0</v>
      </c>
      <c r="M18" s="21"/>
      <c r="N18" s="21">
        <f>MAX((N5+N16),0)</f>
        <v>3935.2027742826754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0.19638979139304902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6968.2450618575213</v>
      </c>
      <c r="C22" s="23">
        <f ca="1">C18*C20</f>
        <v>0</v>
      </c>
      <c r="D22" s="23">
        <f>D18*D20</f>
        <v>30776.08521396156</v>
      </c>
      <c r="E22" s="23">
        <f>E18*E20</f>
        <v>311.0952292451251</v>
      </c>
      <c r="F22" s="23">
        <f>F18*F20</f>
        <v>1594.8976095738444</v>
      </c>
      <c r="G22" s="23"/>
      <c r="H22" s="23"/>
      <c r="I22" s="23"/>
      <c r="J22" s="23">
        <f>J18*J20</f>
        <v>13.365281018214331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1314.6096098298501</v>
      </c>
      <c r="C30" s="39">
        <f>IF(ISERROR(B30*3.6/1000000/'E Balans VL '!Z18*100),0,B30*3.6/1000000/'E Balans VL '!Z18*100)</f>
        <v>0.12935422976640448</v>
      </c>
      <c r="D30" s="239" t="s">
        <v>692</v>
      </c>
    </row>
    <row r="31" spans="1:18">
      <c r="A31" s="6" t="s">
        <v>33</v>
      </c>
      <c r="B31" s="37">
        <f>IF( ISERROR(IND_ander_ele_kWh/1000),0,IND_ander_ele_kWh/1000)</f>
        <v>1671.1952135669601</v>
      </c>
      <c r="C31" s="39">
        <f>IF(ISERROR(B31*3.6/1000000/'E Balans VL '!Z19*100),0,B31*3.6/1000000/'E Balans VL '!Z19*100)</f>
        <v>7.2779218451551136E-2</v>
      </c>
      <c r="D31" s="239" t="s">
        <v>692</v>
      </c>
    </row>
    <row r="32" spans="1:18">
      <c r="A32" s="173" t="s">
        <v>41</v>
      </c>
      <c r="B32" s="37">
        <f>IF( ISERROR(IND_voed_ele_kWh/1000),0,IND_voed_ele_kWh/1000)</f>
        <v>705.09869019503401</v>
      </c>
      <c r="C32" s="39">
        <f>IF(ISERROR(B32*3.6/1000000/'E Balans VL '!Z20*100),0,B32*3.6/1000000/'E Balans VL '!Z20*100)</f>
        <v>0.13378230783518041</v>
      </c>
      <c r="D32" s="239" t="s">
        <v>692</v>
      </c>
    </row>
    <row r="33" spans="1:5">
      <c r="A33" s="173" t="s">
        <v>40</v>
      </c>
      <c r="B33" s="37">
        <f>IF( ISERROR(IND_textiel_ele_kWh/1000),0,IND_textiel_ele_kWh/1000)</f>
        <v>20.209343372450398</v>
      </c>
      <c r="C33" s="39">
        <f>IF(ISERROR(B33*3.6/1000000/'E Balans VL '!Z21*100),0,B33*3.6/1000000/'E Balans VL '!Z21*100)</f>
        <v>1.153851019825912E-3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119.99845317221799</v>
      </c>
      <c r="C35" s="39">
        <f>IF(ISERROR(B35*3.6/1000000/'E Balans VL '!Z22*100),0,B35*3.6/1000000/'E Balans VL '!Z22*100)</f>
        <v>1.687298750292161E-2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14726.7957130174</v>
      </c>
      <c r="C37" s="39">
        <f>IF(ISERROR(B37*3.6/1000000/'E Balans VL '!Z15*100),0,B37*3.6/1000000/'E Balans VL '!Z15*100)</f>
        <v>0.11348804920243596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2441.1413572853003</v>
      </c>
      <c r="C5" s="17">
        <f>'Eigen informatie GS &amp; warmtenet'!B60</f>
        <v>0</v>
      </c>
      <c r="D5" s="30">
        <f>IF(ISERROR(SUM(LB_lb_gas_kWh,LB_rest_gas_kWh)/1000),0,SUM(LB_lb_gas_kWh,LB_rest_gas_kWh)/1000)*0.902</f>
        <v>637.77383056127837</v>
      </c>
      <c r="E5" s="17">
        <f>B17*'E Balans VL '!I25/3.6*1000000/100</f>
        <v>30.761525931271503</v>
      </c>
      <c r="F5" s="17">
        <f>B17*('E Balans VL '!L25/3.6*1000000+'E Balans VL '!N25/3.6*1000000)/100</f>
        <v>8422.5492250854459</v>
      </c>
      <c r="G5" s="18"/>
      <c r="H5" s="17"/>
      <c r="I5" s="17"/>
      <c r="J5" s="17">
        <f>('E Balans VL '!D25+'E Balans VL '!E25)/3.6*1000000*landbouw!B17/100</f>
        <v>367.11991022014519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2441.1413572853003</v>
      </c>
      <c r="C8" s="21">
        <f>C5+C6</f>
        <v>0</v>
      </c>
      <c r="D8" s="21">
        <f>MAX((D5+D6),0)</f>
        <v>637.77383056127837</v>
      </c>
      <c r="E8" s="21">
        <f>MAX((E5+E6),0)</f>
        <v>30.761525931271503</v>
      </c>
      <c r="F8" s="21">
        <f>MAX((F5+F6),0)</f>
        <v>8422.5492250854459</v>
      </c>
      <c r="G8" s="21"/>
      <c r="H8" s="21"/>
      <c r="I8" s="21"/>
      <c r="J8" s="21">
        <f>MAX((J5+J6),0)</f>
        <v>367.11991022014519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0.19638979139304902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479.41524191820469</v>
      </c>
      <c r="C12" s="23">
        <f ca="1">C8*C10</f>
        <v>0</v>
      </c>
      <c r="D12" s="23">
        <f>D8*D10</f>
        <v>128.83031377337824</v>
      </c>
      <c r="E12" s="23">
        <f>E8*E10</f>
        <v>6.9828663863986318</v>
      </c>
      <c r="F12" s="23">
        <f>F8*F10</f>
        <v>2248.8206430978144</v>
      </c>
      <c r="G12" s="23"/>
      <c r="H12" s="23"/>
      <c r="I12" s="23"/>
      <c r="J12" s="23">
        <f>J8*J10</f>
        <v>129.9604482179314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0.34046227903181803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333.87732443562089</v>
      </c>
      <c r="C26" s="249">
        <f>B26*'GWP N2O_CH4'!B5</f>
        <v>7011.4238131480388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168.89976833650778</v>
      </c>
      <c r="C27" s="249">
        <f>B27*'GWP N2O_CH4'!B5</f>
        <v>3546.8951350666634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5.2543394061718072</v>
      </c>
      <c r="C28" s="249">
        <f>B28*'GWP N2O_CH4'!B4</f>
        <v>1628.8452159132603</v>
      </c>
      <c r="D28" s="50"/>
    </row>
    <row r="29" spans="1:4">
      <c r="A29" s="41" t="s">
        <v>277</v>
      </c>
      <c r="B29" s="249">
        <f>B34*'ha_N2O bodem landbouw'!B4</f>
        <v>25.476481513836895</v>
      </c>
      <c r="C29" s="249">
        <f>B29*'GWP N2O_CH4'!B4</f>
        <v>7897.7092692894375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6.361222865896736E-3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1.544122229827464E-5</v>
      </c>
      <c r="C5" s="448" t="s">
        <v>211</v>
      </c>
      <c r="D5" s="433">
        <f>SUM(D6:D11)</f>
        <v>3.0837836727743512E-5</v>
      </c>
      <c r="E5" s="433">
        <f>SUM(E6:E11)</f>
        <v>9.1782577220136442E-4</v>
      </c>
      <c r="F5" s="446" t="s">
        <v>211</v>
      </c>
      <c r="G5" s="433">
        <f>SUM(G6:G11)</f>
        <v>0.22238197021383188</v>
      </c>
      <c r="H5" s="433">
        <f>SUM(H6:H11)</f>
        <v>4.5579607646815117E-2</v>
      </c>
      <c r="I5" s="448" t="s">
        <v>211</v>
      </c>
      <c r="J5" s="448" t="s">
        <v>211</v>
      </c>
      <c r="K5" s="448" t="s">
        <v>211</v>
      </c>
      <c r="L5" s="448" t="s">
        <v>211</v>
      </c>
      <c r="M5" s="433">
        <f>SUM(M6:M11)</f>
        <v>1.211650483645435E-2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7.336596361871541E-6</v>
      </c>
      <c r="C6" s="887"/>
      <c r="D6" s="887">
        <f>vkm_2011_GW_PW*SUMIFS(TableVerdeelsleutelVkm[CNG],TableVerdeelsleutelVkm[Voertuigtype],"Lichte voertuigen")*SUMIFS(TableECFTransport[EnergieConsumptieFactor (PJ per km)],TableECFTransport[Index],CONCATENATE($A6,"_CNG_CNG"))</f>
        <v>1.03900553444345E-5</v>
      </c>
      <c r="E6" s="887">
        <f>vkm_2011_GW_PW*SUMIFS(TableVerdeelsleutelVkm[LPG],TableVerdeelsleutelVkm[Voertuigtype],"Lichte voertuigen")*SUMIFS(TableECFTransport[EnergieConsumptieFactor (PJ per km)],TableECFTransport[Index],CONCATENATE($A6,"_LPG_LPG"))</f>
        <v>3.2631743340347572E-4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5.8648178019369508E-2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1.5715251218866879E-2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3.3644391503178535E-3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3.6161284034751356E-2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1.284772934210409E-5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1.6318443059179406E-3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8.1046259364030991E-6</v>
      </c>
      <c r="C8" s="887"/>
      <c r="D8" s="436">
        <f>vkm_2011_NGW_PW*SUMIFS(TableVerdeelsleutelVkm[CNG],TableVerdeelsleutelVkm[Voertuigtype],"Lichte voertuigen")*SUMIFS(TableECFTransport[EnergieConsumptieFactor (PJ per km)],TableECFTransport[Index],CONCATENATE($A8,"_CNG_CNG"))</f>
        <v>2.0447781383309011E-5</v>
      </c>
      <c r="E8" s="436">
        <f>vkm_2011_NGW_PW*SUMIFS(TableVerdeelsleutelVkm[LPG],TableVerdeelsleutelVkm[Voertuigtype],"Lichte voertuigen")*SUMIFS(TableECFTransport[EnergieConsumptieFactor (PJ per km)],TableECFTransport[Index],CONCATENATE($A8,"_LPG_LPG"))</f>
        <v>5.9150833879788864E-4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0.10026639928059046</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2.9842328183385381E-2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5.8880069367657391E-3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2.730610887912055E-2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9.1805152207539222E-6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1.2322144434528165E-3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4.2892284161874006</v>
      </c>
      <c r="C14" s="21"/>
      <c r="D14" s="21">
        <f t="shared" ref="D14:M14" si="0">((D5)*10^9/3600)+D12</f>
        <v>8.5660657577065304</v>
      </c>
      <c r="E14" s="21">
        <f t="shared" si="0"/>
        <v>254.95160338926789</v>
      </c>
      <c r="F14" s="21"/>
      <c r="G14" s="21">
        <f t="shared" si="0"/>
        <v>61772.769503842188</v>
      </c>
      <c r="H14" s="21">
        <f t="shared" si="0"/>
        <v>12661.00212411531</v>
      </c>
      <c r="I14" s="21"/>
      <c r="J14" s="21"/>
      <c r="K14" s="21"/>
      <c r="L14" s="21"/>
      <c r="M14" s="21">
        <f t="shared" si="0"/>
        <v>3365.6957879039865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0.19638979139304902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0.84236067389218161</v>
      </c>
      <c r="C18" s="23"/>
      <c r="D18" s="23">
        <f t="shared" ref="D18:M18" si="1">D14*D16</f>
        <v>1.7303452830567192</v>
      </c>
      <c r="E18" s="23">
        <f t="shared" si="1"/>
        <v>57.874013969363816</v>
      </c>
      <c r="F18" s="23"/>
      <c r="G18" s="23">
        <f t="shared" si="1"/>
        <v>16493.329457525866</v>
      </c>
      <c r="H18" s="23">
        <f t="shared" si="1"/>
        <v>3152.5895289047121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4.1034835707036534E-3</v>
      </c>
      <c r="H50" s="323">
        <f t="shared" si="2"/>
        <v>0</v>
      </c>
      <c r="I50" s="323">
        <f t="shared" si="2"/>
        <v>0</v>
      </c>
      <c r="J50" s="323">
        <f t="shared" si="2"/>
        <v>0</v>
      </c>
      <c r="K50" s="323">
        <f t="shared" si="2"/>
        <v>0</v>
      </c>
      <c r="L50" s="323">
        <f t="shared" si="2"/>
        <v>0</v>
      </c>
      <c r="M50" s="323">
        <f t="shared" si="2"/>
        <v>1.8249195116686552E-4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4.1034835707036534E-3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1.8249195116686552E-4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1139.8565474176817</v>
      </c>
      <c r="H54" s="21">
        <f t="shared" si="3"/>
        <v>0</v>
      </c>
      <c r="I54" s="21">
        <f t="shared" si="3"/>
        <v>0</v>
      </c>
      <c r="J54" s="21">
        <f t="shared" si="3"/>
        <v>0</v>
      </c>
      <c r="K54" s="21">
        <f t="shared" si="3"/>
        <v>0</v>
      </c>
      <c r="L54" s="21">
        <f t="shared" si="3"/>
        <v>0</v>
      </c>
      <c r="M54" s="21">
        <f t="shared" si="3"/>
        <v>50.69220865746265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0.19638979139304902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304.34169816052105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26240.937053015376</v>
      </c>
      <c r="D10" s="690">
        <f ca="1">tertiair!C16</f>
        <v>0</v>
      </c>
      <c r="E10" s="690">
        <f ca="1">tertiair!D16</f>
        <v>22985.392400864697</v>
      </c>
      <c r="F10" s="690">
        <f>tertiair!E16</f>
        <v>273.01813014641709</v>
      </c>
      <c r="G10" s="690">
        <f ca="1">tertiair!F16</f>
        <v>4740.3881137658436</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7.8166666666666664</v>
      </c>
      <c r="Q10" s="691">
        <f>tertiair!P16</f>
        <v>19.066666666666666</v>
      </c>
      <c r="R10" s="693">
        <f ca="1">SUM(C10:Q10)</f>
        <v>54266.619031125665</v>
      </c>
      <c r="S10" s="67"/>
    </row>
    <row r="11" spans="1:19" s="458" customFormat="1">
      <c r="A11" s="805" t="s">
        <v>225</v>
      </c>
      <c r="B11" s="810"/>
      <c r="C11" s="690">
        <f>huishoudens!B8</f>
        <v>45395.9449832299</v>
      </c>
      <c r="D11" s="690">
        <f>huishoudens!C8</f>
        <v>0</v>
      </c>
      <c r="E11" s="690">
        <f>huishoudens!D8</f>
        <v>78497.430243083771</v>
      </c>
      <c r="F11" s="690">
        <f>huishoudens!E8</f>
        <v>4030.3903394308004</v>
      </c>
      <c r="G11" s="690">
        <f>huishoudens!F8</f>
        <v>56404.912993879028</v>
      </c>
      <c r="H11" s="690">
        <f>huishoudens!G8</f>
        <v>0</v>
      </c>
      <c r="I11" s="690">
        <f>huishoudens!H8</f>
        <v>0</v>
      </c>
      <c r="J11" s="690">
        <f>huishoudens!I8</f>
        <v>0</v>
      </c>
      <c r="K11" s="690">
        <f>huishoudens!J8</f>
        <v>2742.0392246017454</v>
      </c>
      <c r="L11" s="690">
        <f>huishoudens!K8</f>
        <v>0</v>
      </c>
      <c r="M11" s="690">
        <f>huishoudens!L8</f>
        <v>0</v>
      </c>
      <c r="N11" s="690">
        <f>huishoudens!M8</f>
        <v>0</v>
      </c>
      <c r="O11" s="690">
        <f>huishoudens!N8</f>
        <v>21651.959307255216</v>
      </c>
      <c r="P11" s="690">
        <f>huishoudens!O8</f>
        <v>306.41333333333336</v>
      </c>
      <c r="Q11" s="691">
        <f>huishoudens!P8</f>
        <v>648.26666666666665</v>
      </c>
      <c r="R11" s="693">
        <f>SUM(C11:Q11)</f>
        <v>209677.35709148046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35481.707131667914</v>
      </c>
      <c r="D13" s="690">
        <f>industrie!C18</f>
        <v>0</v>
      </c>
      <c r="E13" s="690">
        <f>industrie!D18</f>
        <v>152356.8574948592</v>
      </c>
      <c r="F13" s="690">
        <f>industrie!E18</f>
        <v>1370.4635649564982</v>
      </c>
      <c r="G13" s="690">
        <f>industrie!F18</f>
        <v>5973.3992867934248</v>
      </c>
      <c r="H13" s="690">
        <f>industrie!G18</f>
        <v>0</v>
      </c>
      <c r="I13" s="690">
        <f>industrie!H18</f>
        <v>0</v>
      </c>
      <c r="J13" s="690">
        <f>industrie!I18</f>
        <v>0</v>
      </c>
      <c r="K13" s="690">
        <f>industrie!J18</f>
        <v>37.75503112489924</v>
      </c>
      <c r="L13" s="690">
        <f>industrie!K18</f>
        <v>0</v>
      </c>
      <c r="M13" s="690">
        <f>industrie!L18</f>
        <v>0</v>
      </c>
      <c r="N13" s="690">
        <f>industrie!M18</f>
        <v>0</v>
      </c>
      <c r="O13" s="690">
        <f>industrie!N18</f>
        <v>3935.2027742826754</v>
      </c>
      <c r="P13" s="690">
        <f>industrie!O18</f>
        <v>0</v>
      </c>
      <c r="Q13" s="691">
        <f>industrie!P18</f>
        <v>0</v>
      </c>
      <c r="R13" s="693">
        <f>SUM(C13:Q13)</f>
        <v>199155.38528368459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107118.58916791319</v>
      </c>
      <c r="D16" s="725">
        <f t="shared" ref="D16:R16" ca="1" si="0">SUM(D9:D15)</f>
        <v>0</v>
      </c>
      <c r="E16" s="725">
        <f t="shared" ca="1" si="0"/>
        <v>253839.68013880769</v>
      </c>
      <c r="F16" s="725">
        <f t="shared" si="0"/>
        <v>5673.8720345337151</v>
      </c>
      <c r="G16" s="725">
        <f t="shared" ca="1" si="0"/>
        <v>67118.700394438303</v>
      </c>
      <c r="H16" s="725">
        <f t="shared" si="0"/>
        <v>0</v>
      </c>
      <c r="I16" s="725">
        <f t="shared" si="0"/>
        <v>0</v>
      </c>
      <c r="J16" s="725">
        <f t="shared" si="0"/>
        <v>0</v>
      </c>
      <c r="K16" s="725">
        <f t="shared" si="0"/>
        <v>2779.7942557266447</v>
      </c>
      <c r="L16" s="725">
        <f t="shared" si="0"/>
        <v>0</v>
      </c>
      <c r="M16" s="725">
        <f t="shared" ca="1" si="0"/>
        <v>0</v>
      </c>
      <c r="N16" s="725">
        <f t="shared" si="0"/>
        <v>0</v>
      </c>
      <c r="O16" s="725">
        <f t="shared" ca="1" si="0"/>
        <v>25587.162081537892</v>
      </c>
      <c r="P16" s="725">
        <f t="shared" si="0"/>
        <v>314.23</v>
      </c>
      <c r="Q16" s="725">
        <f t="shared" si="0"/>
        <v>667.33333333333337</v>
      </c>
      <c r="R16" s="725">
        <f t="shared" ca="1" si="0"/>
        <v>463099.36140629073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1139.8565474176817</v>
      </c>
      <c r="I19" s="690">
        <f>transport!H54</f>
        <v>0</v>
      </c>
      <c r="J19" s="690">
        <f>transport!I54</f>
        <v>0</v>
      </c>
      <c r="K19" s="690">
        <f>transport!J54</f>
        <v>0</v>
      </c>
      <c r="L19" s="690">
        <f>transport!K54</f>
        <v>0</v>
      </c>
      <c r="M19" s="690">
        <f>transport!L54</f>
        <v>0</v>
      </c>
      <c r="N19" s="690">
        <f>transport!M54</f>
        <v>50.69220865746265</v>
      </c>
      <c r="O19" s="690">
        <f>transport!N54</f>
        <v>0</v>
      </c>
      <c r="P19" s="690">
        <f>transport!O54</f>
        <v>0</v>
      </c>
      <c r="Q19" s="691">
        <f>transport!P54</f>
        <v>0</v>
      </c>
      <c r="R19" s="693">
        <f>SUM(C19:Q19)</f>
        <v>1190.5487560751444</v>
      </c>
      <c r="S19" s="67"/>
    </row>
    <row r="20" spans="1:19" s="458" customFormat="1">
      <c r="A20" s="805" t="s">
        <v>307</v>
      </c>
      <c r="B20" s="810"/>
      <c r="C20" s="690">
        <f>transport!B14</f>
        <v>4.2892284161874006</v>
      </c>
      <c r="D20" s="690">
        <f>transport!C14</f>
        <v>0</v>
      </c>
      <c r="E20" s="690">
        <f>transport!D14</f>
        <v>8.5660657577065304</v>
      </c>
      <c r="F20" s="690">
        <f>transport!E14</f>
        <v>254.95160338926789</v>
      </c>
      <c r="G20" s="690">
        <f>transport!F14</f>
        <v>0</v>
      </c>
      <c r="H20" s="690">
        <f>transport!G14</f>
        <v>61772.769503842188</v>
      </c>
      <c r="I20" s="690">
        <f>transport!H14</f>
        <v>12661.00212411531</v>
      </c>
      <c r="J20" s="690">
        <f>transport!I14</f>
        <v>0</v>
      </c>
      <c r="K20" s="690">
        <f>transport!J14</f>
        <v>0</v>
      </c>
      <c r="L20" s="690">
        <f>transport!K14</f>
        <v>0</v>
      </c>
      <c r="M20" s="690">
        <f>transport!L14</f>
        <v>0</v>
      </c>
      <c r="N20" s="690">
        <f>transport!M14</f>
        <v>3365.6957879039865</v>
      </c>
      <c r="O20" s="690">
        <f>transport!N14</f>
        <v>0</v>
      </c>
      <c r="P20" s="690">
        <f>transport!O14</f>
        <v>0</v>
      </c>
      <c r="Q20" s="691">
        <f>transport!P14</f>
        <v>0</v>
      </c>
      <c r="R20" s="693">
        <f>SUM(C20:Q20)</f>
        <v>78067.274313424641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4.2892284161874006</v>
      </c>
      <c r="D22" s="808">
        <f t="shared" ref="D22:R22" si="1">SUM(D18:D21)</f>
        <v>0</v>
      </c>
      <c r="E22" s="808">
        <f t="shared" si="1"/>
        <v>8.5660657577065304</v>
      </c>
      <c r="F22" s="808">
        <f t="shared" si="1"/>
        <v>254.95160338926789</v>
      </c>
      <c r="G22" s="808">
        <f t="shared" si="1"/>
        <v>0</v>
      </c>
      <c r="H22" s="808">
        <f t="shared" si="1"/>
        <v>62912.626051259867</v>
      </c>
      <c r="I22" s="808">
        <f t="shared" si="1"/>
        <v>12661.00212411531</v>
      </c>
      <c r="J22" s="808">
        <f t="shared" si="1"/>
        <v>0</v>
      </c>
      <c r="K22" s="808">
        <f t="shared" si="1"/>
        <v>0</v>
      </c>
      <c r="L22" s="808">
        <f t="shared" si="1"/>
        <v>0</v>
      </c>
      <c r="M22" s="808">
        <f t="shared" si="1"/>
        <v>0</v>
      </c>
      <c r="N22" s="808">
        <f t="shared" si="1"/>
        <v>3416.3879965614492</v>
      </c>
      <c r="O22" s="808">
        <f t="shared" si="1"/>
        <v>0</v>
      </c>
      <c r="P22" s="808">
        <f t="shared" si="1"/>
        <v>0</v>
      </c>
      <c r="Q22" s="808">
        <f t="shared" si="1"/>
        <v>0</v>
      </c>
      <c r="R22" s="808">
        <f t="shared" si="1"/>
        <v>79257.823069499791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2441.1413572853003</v>
      </c>
      <c r="D24" s="690">
        <f>+landbouw!C8</f>
        <v>0</v>
      </c>
      <c r="E24" s="690">
        <f>+landbouw!D8</f>
        <v>637.77383056127837</v>
      </c>
      <c r="F24" s="690">
        <f>+landbouw!E8</f>
        <v>30.761525931271503</v>
      </c>
      <c r="G24" s="690">
        <f>+landbouw!F8</f>
        <v>8422.5492250854459</v>
      </c>
      <c r="H24" s="690">
        <f>+landbouw!G8</f>
        <v>0</v>
      </c>
      <c r="I24" s="690">
        <f>+landbouw!H8</f>
        <v>0</v>
      </c>
      <c r="J24" s="690">
        <f>+landbouw!I8</f>
        <v>0</v>
      </c>
      <c r="K24" s="690">
        <f>+landbouw!J8</f>
        <v>367.11991022014519</v>
      </c>
      <c r="L24" s="690">
        <f>+landbouw!K8</f>
        <v>0</v>
      </c>
      <c r="M24" s="690">
        <f>+landbouw!L8</f>
        <v>0</v>
      </c>
      <c r="N24" s="690">
        <f>+landbouw!M8</f>
        <v>0</v>
      </c>
      <c r="O24" s="690">
        <f>+landbouw!N8</f>
        <v>0</v>
      </c>
      <c r="P24" s="690">
        <f>+landbouw!O8</f>
        <v>0</v>
      </c>
      <c r="Q24" s="691">
        <f>+landbouw!P8</f>
        <v>0</v>
      </c>
      <c r="R24" s="693">
        <f>SUM(C24:Q24)</f>
        <v>11899.34584908344</v>
      </c>
      <c r="S24" s="67"/>
    </row>
    <row r="25" spans="1:19" s="458" customFormat="1" ht="15" thickBot="1">
      <c r="A25" s="827" t="s">
        <v>872</v>
      </c>
      <c r="B25" s="1004"/>
      <c r="C25" s="1005">
        <f>IF(Onbekend_ele_kWh="---",0,Onbekend_ele_kWh)/1000+IF(REST_rest_ele_kWh="---",0,REST_rest_ele_kWh)/1000</f>
        <v>1277.1536658802499</v>
      </c>
      <c r="D25" s="1005"/>
      <c r="E25" s="1005">
        <f>IF(onbekend_gas_kWh="---",0,onbekend_gas_kWh)/1000+IF(REST_rest_gas_kWh="---",0,REST_rest_gas_kWh)/1000</f>
        <v>3361.66932225457</v>
      </c>
      <c r="F25" s="1005"/>
      <c r="G25" s="1005"/>
      <c r="H25" s="1005"/>
      <c r="I25" s="1005"/>
      <c r="J25" s="1005"/>
      <c r="K25" s="1005"/>
      <c r="L25" s="1005"/>
      <c r="M25" s="1005"/>
      <c r="N25" s="1005"/>
      <c r="O25" s="1005"/>
      <c r="P25" s="1005"/>
      <c r="Q25" s="1006"/>
      <c r="R25" s="693">
        <f>SUM(C25:Q25)</f>
        <v>4638.8229881348198</v>
      </c>
      <c r="S25" s="67"/>
    </row>
    <row r="26" spans="1:19" s="458" customFormat="1" ht="15.75" thickBot="1">
      <c r="A26" s="698" t="s">
        <v>873</v>
      </c>
      <c r="B26" s="813"/>
      <c r="C26" s="808">
        <f>SUM(C24:C25)</f>
        <v>3718.2950231655504</v>
      </c>
      <c r="D26" s="808">
        <f t="shared" ref="D26:R26" si="2">SUM(D24:D25)</f>
        <v>0</v>
      </c>
      <c r="E26" s="808">
        <f t="shared" si="2"/>
        <v>3999.4431528158484</v>
      </c>
      <c r="F26" s="808">
        <f t="shared" si="2"/>
        <v>30.761525931271503</v>
      </c>
      <c r="G26" s="808">
        <f t="shared" si="2"/>
        <v>8422.5492250854459</v>
      </c>
      <c r="H26" s="808">
        <f t="shared" si="2"/>
        <v>0</v>
      </c>
      <c r="I26" s="808">
        <f t="shared" si="2"/>
        <v>0</v>
      </c>
      <c r="J26" s="808">
        <f t="shared" si="2"/>
        <v>0</v>
      </c>
      <c r="K26" s="808">
        <f t="shared" si="2"/>
        <v>367.11991022014519</v>
      </c>
      <c r="L26" s="808">
        <f t="shared" si="2"/>
        <v>0</v>
      </c>
      <c r="M26" s="808">
        <f t="shared" si="2"/>
        <v>0</v>
      </c>
      <c r="N26" s="808">
        <f t="shared" si="2"/>
        <v>0</v>
      </c>
      <c r="O26" s="808">
        <f t="shared" si="2"/>
        <v>0</v>
      </c>
      <c r="P26" s="808">
        <f t="shared" si="2"/>
        <v>0</v>
      </c>
      <c r="Q26" s="808">
        <f t="shared" si="2"/>
        <v>0</v>
      </c>
      <c r="R26" s="808">
        <f t="shared" si="2"/>
        <v>16538.168837218262</v>
      </c>
      <c r="S26" s="67"/>
    </row>
    <row r="27" spans="1:19" s="458" customFormat="1" ht="17.25" thickTop="1" thickBot="1">
      <c r="A27" s="699" t="s">
        <v>116</v>
      </c>
      <c r="B27" s="800"/>
      <c r="C27" s="700">
        <f ca="1">C22+C16+C26</f>
        <v>110841.17341949494</v>
      </c>
      <c r="D27" s="700">
        <f t="shared" ref="D27:R27" ca="1" si="3">D22+D16+D26</f>
        <v>0</v>
      </c>
      <c r="E27" s="700">
        <f t="shared" ca="1" si="3"/>
        <v>257847.68935738126</v>
      </c>
      <c r="F27" s="700">
        <f t="shared" si="3"/>
        <v>5959.5851638542545</v>
      </c>
      <c r="G27" s="700">
        <f t="shared" ca="1" si="3"/>
        <v>75541.249619523747</v>
      </c>
      <c r="H27" s="700">
        <f t="shared" si="3"/>
        <v>62912.626051259867</v>
      </c>
      <c r="I27" s="700">
        <f t="shared" si="3"/>
        <v>12661.00212411531</v>
      </c>
      <c r="J27" s="700">
        <f t="shared" si="3"/>
        <v>0</v>
      </c>
      <c r="K27" s="700">
        <f t="shared" si="3"/>
        <v>3146.91416594679</v>
      </c>
      <c r="L27" s="700">
        <f t="shared" si="3"/>
        <v>0</v>
      </c>
      <c r="M27" s="700">
        <f t="shared" ca="1" si="3"/>
        <v>0</v>
      </c>
      <c r="N27" s="700">
        <f t="shared" si="3"/>
        <v>3416.3879965614492</v>
      </c>
      <c r="O27" s="700">
        <f t="shared" ca="1" si="3"/>
        <v>25587.162081537892</v>
      </c>
      <c r="P27" s="700">
        <f t="shared" si="3"/>
        <v>314.23</v>
      </c>
      <c r="Q27" s="700">
        <f t="shared" si="3"/>
        <v>667.33333333333337</v>
      </c>
      <c r="R27" s="700">
        <f t="shared" ca="1" si="3"/>
        <v>558895.35331300879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5153.4521537998198</v>
      </c>
      <c r="D40" s="690">
        <f ca="1">tertiair!C20</f>
        <v>0</v>
      </c>
      <c r="E40" s="690">
        <f ca="1">tertiair!D20</f>
        <v>4643.0492649746693</v>
      </c>
      <c r="F40" s="690">
        <f>tertiair!E20</f>
        <v>61.975115543236683</v>
      </c>
      <c r="G40" s="690">
        <f ca="1">tertiair!F20</f>
        <v>1265.6836263754803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11124.160160693205</v>
      </c>
    </row>
    <row r="41" spans="1:18">
      <c r="A41" s="818" t="s">
        <v>225</v>
      </c>
      <c r="B41" s="825"/>
      <c r="C41" s="690">
        <f ca="1">huishoudens!B12</f>
        <v>8915.3001653468509</v>
      </c>
      <c r="D41" s="690">
        <f ca="1">huishoudens!C12</f>
        <v>0</v>
      </c>
      <c r="E41" s="690">
        <f>huishoudens!D12</f>
        <v>15856.480909102922</v>
      </c>
      <c r="F41" s="690">
        <f>huishoudens!E12</f>
        <v>914.89860705079172</v>
      </c>
      <c r="G41" s="690">
        <f>huishoudens!F12</f>
        <v>15060.111769365702</v>
      </c>
      <c r="H41" s="690">
        <f>huishoudens!G12</f>
        <v>0</v>
      </c>
      <c r="I41" s="690">
        <f>huishoudens!H12</f>
        <v>0</v>
      </c>
      <c r="J41" s="690">
        <f>huishoudens!I12</f>
        <v>0</v>
      </c>
      <c r="K41" s="690">
        <f>huishoudens!J12</f>
        <v>970.68188550901789</v>
      </c>
      <c r="L41" s="690">
        <f>huishoudens!K12</f>
        <v>0</v>
      </c>
      <c r="M41" s="690">
        <f>huishoudens!L12</f>
        <v>0</v>
      </c>
      <c r="N41" s="690">
        <f>huishoudens!M12</f>
        <v>0</v>
      </c>
      <c r="O41" s="690">
        <f>huishoudens!N12</f>
        <v>0</v>
      </c>
      <c r="P41" s="690">
        <f>huishoudens!O12</f>
        <v>0</v>
      </c>
      <c r="Q41" s="767">
        <f>huishoudens!P12</f>
        <v>0</v>
      </c>
      <c r="R41" s="846">
        <f t="shared" ca="1" si="4"/>
        <v>41717.473336375282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6968.2450618575213</v>
      </c>
      <c r="D43" s="690">
        <f ca="1">industrie!C22</f>
        <v>0</v>
      </c>
      <c r="E43" s="690">
        <f>industrie!D22</f>
        <v>30776.08521396156</v>
      </c>
      <c r="F43" s="690">
        <f>industrie!E22</f>
        <v>311.0952292451251</v>
      </c>
      <c r="G43" s="690">
        <f>industrie!F22</f>
        <v>1594.8976095738444</v>
      </c>
      <c r="H43" s="690">
        <f>industrie!G22</f>
        <v>0</v>
      </c>
      <c r="I43" s="690">
        <f>industrie!H22</f>
        <v>0</v>
      </c>
      <c r="J43" s="690">
        <f>industrie!I22</f>
        <v>0</v>
      </c>
      <c r="K43" s="690">
        <f>industrie!J22</f>
        <v>13.365281018214331</v>
      </c>
      <c r="L43" s="690">
        <f>industrie!K22</f>
        <v>0</v>
      </c>
      <c r="M43" s="690">
        <f>industrie!L22</f>
        <v>0</v>
      </c>
      <c r="N43" s="690">
        <f>industrie!M22</f>
        <v>0</v>
      </c>
      <c r="O43" s="690">
        <f>industrie!N22</f>
        <v>0</v>
      </c>
      <c r="P43" s="690">
        <f>industrie!O22</f>
        <v>0</v>
      </c>
      <c r="Q43" s="767">
        <f>industrie!P22</f>
        <v>0</v>
      </c>
      <c r="R43" s="845">
        <f t="shared" ca="1" si="4"/>
        <v>39663.688395656274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21036.997381004192</v>
      </c>
      <c r="D46" s="725">
        <f t="shared" ref="D46:Q46" ca="1" si="5">SUM(D39:D45)</f>
        <v>0</v>
      </c>
      <c r="E46" s="725">
        <f t="shared" ca="1" si="5"/>
        <v>51275.61538803915</v>
      </c>
      <c r="F46" s="725">
        <f t="shared" si="5"/>
        <v>1287.9689518391535</v>
      </c>
      <c r="G46" s="725">
        <f t="shared" ca="1" si="5"/>
        <v>17920.693005315024</v>
      </c>
      <c r="H46" s="725">
        <f t="shared" si="5"/>
        <v>0</v>
      </c>
      <c r="I46" s="725">
        <f t="shared" si="5"/>
        <v>0</v>
      </c>
      <c r="J46" s="725">
        <f t="shared" si="5"/>
        <v>0</v>
      </c>
      <c r="K46" s="725">
        <f t="shared" si="5"/>
        <v>984.04716652723221</v>
      </c>
      <c r="L46" s="725">
        <f t="shared" si="5"/>
        <v>0</v>
      </c>
      <c r="M46" s="725">
        <f t="shared" ca="1" si="5"/>
        <v>0</v>
      </c>
      <c r="N46" s="725">
        <f t="shared" si="5"/>
        <v>0</v>
      </c>
      <c r="O46" s="725">
        <f t="shared" ca="1" si="5"/>
        <v>0</v>
      </c>
      <c r="P46" s="725">
        <f t="shared" si="5"/>
        <v>0</v>
      </c>
      <c r="Q46" s="725">
        <f t="shared" si="5"/>
        <v>0</v>
      </c>
      <c r="R46" s="725">
        <f ca="1">SUM(R39:R45)</f>
        <v>92505.321892724751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304.34169816052105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304.34169816052105</v>
      </c>
    </row>
    <row r="50" spans="1:18">
      <c r="A50" s="821" t="s">
        <v>307</v>
      </c>
      <c r="B50" s="831"/>
      <c r="C50" s="696">
        <f ca="1">transport!B18</f>
        <v>0.84236067389218161</v>
      </c>
      <c r="D50" s="696">
        <f>transport!C18</f>
        <v>0</v>
      </c>
      <c r="E50" s="696">
        <f>transport!D18</f>
        <v>1.7303452830567192</v>
      </c>
      <c r="F50" s="696">
        <f>transport!E18</f>
        <v>57.874013969363816</v>
      </c>
      <c r="G50" s="696">
        <f>transport!F18</f>
        <v>0</v>
      </c>
      <c r="H50" s="696">
        <f>transport!G18</f>
        <v>16493.329457525866</v>
      </c>
      <c r="I50" s="696">
        <f>transport!H18</f>
        <v>3152.5895289047121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19706.36570635689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0.84236067389218161</v>
      </c>
      <c r="D52" s="725">
        <f t="shared" ref="D52:Q52" ca="1" si="6">SUM(D48:D51)</f>
        <v>0</v>
      </c>
      <c r="E52" s="725">
        <f t="shared" si="6"/>
        <v>1.7303452830567192</v>
      </c>
      <c r="F52" s="725">
        <f t="shared" si="6"/>
        <v>57.874013969363816</v>
      </c>
      <c r="G52" s="725">
        <f t="shared" si="6"/>
        <v>0</v>
      </c>
      <c r="H52" s="725">
        <f t="shared" si="6"/>
        <v>16797.671155686388</v>
      </c>
      <c r="I52" s="725">
        <f t="shared" si="6"/>
        <v>3152.5895289047121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20010.707404517412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479.41524191820469</v>
      </c>
      <c r="D54" s="696">
        <f ca="1">+landbouw!C12</f>
        <v>0</v>
      </c>
      <c r="E54" s="696">
        <f>+landbouw!D12</f>
        <v>128.83031377337824</v>
      </c>
      <c r="F54" s="696">
        <f>+landbouw!E12</f>
        <v>6.9828663863986318</v>
      </c>
      <c r="G54" s="696">
        <f>+landbouw!F12</f>
        <v>2248.8206430978144</v>
      </c>
      <c r="H54" s="696">
        <f>+landbouw!G12</f>
        <v>0</v>
      </c>
      <c r="I54" s="696">
        <f>+landbouw!H12</f>
        <v>0</v>
      </c>
      <c r="J54" s="696">
        <f>+landbouw!I12</f>
        <v>0</v>
      </c>
      <c r="K54" s="696">
        <f>+landbouw!J12</f>
        <v>129.9604482179314</v>
      </c>
      <c r="L54" s="696">
        <f>+landbouw!K12</f>
        <v>0</v>
      </c>
      <c r="M54" s="696">
        <f>+landbouw!L12</f>
        <v>0</v>
      </c>
      <c r="N54" s="696">
        <f>+landbouw!M12</f>
        <v>0</v>
      </c>
      <c r="O54" s="696">
        <f>+landbouw!N12</f>
        <v>0</v>
      </c>
      <c r="P54" s="696">
        <f>+landbouw!O12</f>
        <v>0</v>
      </c>
      <c r="Q54" s="697">
        <f>+landbouw!P12</f>
        <v>0</v>
      </c>
      <c r="R54" s="724">
        <f ca="1">SUM(C54:Q54)</f>
        <v>2994.0095133937275</v>
      </c>
    </row>
    <row r="55" spans="1:18" ht="15" thickBot="1">
      <c r="A55" s="821" t="s">
        <v>872</v>
      </c>
      <c r="B55" s="831"/>
      <c r="C55" s="696">
        <f ca="1">C25*'EF ele_warmte'!B12</f>
        <v>250.81994201909012</v>
      </c>
      <c r="D55" s="696"/>
      <c r="E55" s="696">
        <f>E25*EF_CO2_aardgas</f>
        <v>679.05720309542323</v>
      </c>
      <c r="F55" s="696"/>
      <c r="G55" s="696"/>
      <c r="H55" s="696"/>
      <c r="I55" s="696"/>
      <c r="J55" s="696"/>
      <c r="K55" s="696"/>
      <c r="L55" s="696"/>
      <c r="M55" s="696"/>
      <c r="N55" s="696"/>
      <c r="O55" s="696"/>
      <c r="P55" s="696"/>
      <c r="Q55" s="697"/>
      <c r="R55" s="724">
        <f ca="1">SUM(C55:Q55)</f>
        <v>929.87714511451338</v>
      </c>
    </row>
    <row r="56" spans="1:18" ht="15.75" thickBot="1">
      <c r="A56" s="819" t="s">
        <v>873</v>
      </c>
      <c r="B56" s="832"/>
      <c r="C56" s="725">
        <f ca="1">SUM(C54:C55)</f>
        <v>730.23518393729478</v>
      </c>
      <c r="D56" s="725">
        <f t="shared" ref="D56:Q56" ca="1" si="7">SUM(D54:D55)</f>
        <v>0</v>
      </c>
      <c r="E56" s="725">
        <f t="shared" si="7"/>
        <v>807.88751686880141</v>
      </c>
      <c r="F56" s="725">
        <f t="shared" si="7"/>
        <v>6.9828663863986318</v>
      </c>
      <c r="G56" s="725">
        <f t="shared" si="7"/>
        <v>2248.8206430978144</v>
      </c>
      <c r="H56" s="725">
        <f t="shared" si="7"/>
        <v>0</v>
      </c>
      <c r="I56" s="725">
        <f t="shared" si="7"/>
        <v>0</v>
      </c>
      <c r="J56" s="725">
        <f t="shared" si="7"/>
        <v>0</v>
      </c>
      <c r="K56" s="725">
        <f t="shared" si="7"/>
        <v>129.9604482179314</v>
      </c>
      <c r="L56" s="725">
        <f t="shared" si="7"/>
        <v>0</v>
      </c>
      <c r="M56" s="725">
        <f t="shared" si="7"/>
        <v>0</v>
      </c>
      <c r="N56" s="725">
        <f t="shared" si="7"/>
        <v>0</v>
      </c>
      <c r="O56" s="725">
        <f t="shared" si="7"/>
        <v>0</v>
      </c>
      <c r="P56" s="725">
        <f t="shared" si="7"/>
        <v>0</v>
      </c>
      <c r="Q56" s="726">
        <f t="shared" si="7"/>
        <v>0</v>
      </c>
      <c r="R56" s="727">
        <f ca="1">SUM(R54:R55)</f>
        <v>3923.886658508241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21768.074925615376</v>
      </c>
      <c r="D61" s="733">
        <f t="shared" ref="D61:Q61" ca="1" si="8">D46+D52+D56</f>
        <v>0</v>
      </c>
      <c r="E61" s="733">
        <f t="shared" ca="1" si="8"/>
        <v>52085.233250191013</v>
      </c>
      <c r="F61" s="733">
        <f t="shared" si="8"/>
        <v>1352.8258321949161</v>
      </c>
      <c r="G61" s="733">
        <f t="shared" ca="1" si="8"/>
        <v>20169.513648412838</v>
      </c>
      <c r="H61" s="733">
        <f t="shared" si="8"/>
        <v>16797.671155686388</v>
      </c>
      <c r="I61" s="733">
        <f t="shared" si="8"/>
        <v>3152.5895289047121</v>
      </c>
      <c r="J61" s="733">
        <f t="shared" si="8"/>
        <v>0</v>
      </c>
      <c r="K61" s="733">
        <f t="shared" si="8"/>
        <v>1114.0076147451637</v>
      </c>
      <c r="L61" s="733">
        <f t="shared" si="8"/>
        <v>0</v>
      </c>
      <c r="M61" s="733">
        <f t="shared" ca="1" si="8"/>
        <v>0</v>
      </c>
      <c r="N61" s="733">
        <f t="shared" si="8"/>
        <v>0</v>
      </c>
      <c r="O61" s="733">
        <f t="shared" ca="1" si="8"/>
        <v>0</v>
      </c>
      <c r="P61" s="733">
        <f t="shared" si="8"/>
        <v>0</v>
      </c>
      <c r="Q61" s="733">
        <f t="shared" si="8"/>
        <v>0</v>
      </c>
      <c r="R61" s="733">
        <f ca="1">R46+R52+R56</f>
        <v>116439.9159557504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0.19638979139304896</v>
      </c>
      <c r="D63" s="776">
        <f t="shared" ca="1" si="9"/>
        <v>0</v>
      </c>
      <c r="E63" s="1011">
        <f t="shared" ca="1" si="9"/>
        <v>0.20199999999999999</v>
      </c>
      <c r="F63" s="776">
        <f t="shared" si="9"/>
        <v>0.22700000000000006</v>
      </c>
      <c r="G63" s="776">
        <f t="shared" ca="1" si="9"/>
        <v>0.26699999999999996</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3772.3168329999999</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7445.78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1125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3214.2857142857147</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12343.096833</v>
      </c>
      <c r="C78" s="748">
        <f>SUM(C72:C77)</f>
        <v>0</v>
      </c>
      <c r="D78" s="749">
        <f t="shared" ref="D78:H78" si="10">SUM(D76:D77)</f>
        <v>0</v>
      </c>
      <c r="E78" s="749">
        <f t="shared" si="10"/>
        <v>0</v>
      </c>
      <c r="F78" s="749">
        <f t="shared" si="10"/>
        <v>0</v>
      </c>
      <c r="G78" s="749">
        <f t="shared" si="10"/>
        <v>0</v>
      </c>
      <c r="H78" s="749">
        <f t="shared" si="10"/>
        <v>0</v>
      </c>
      <c r="I78" s="749">
        <f>SUM(I76:I77)</f>
        <v>0</v>
      </c>
      <c r="J78" s="749">
        <f>SUM(J76:J77)</f>
        <v>3214.2857142857147</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3772.3168329999999</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7445.78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1125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3214.2857142857147</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12343.096833</v>
      </c>
      <c r="C10" s="573">
        <f t="shared" ref="C10:L10" si="0">SUM(C8:C9)</f>
        <v>0</v>
      </c>
      <c r="D10" s="573">
        <f t="shared" si="0"/>
        <v>0</v>
      </c>
      <c r="E10" s="573">
        <f t="shared" si="0"/>
        <v>0</v>
      </c>
      <c r="F10" s="573">
        <f t="shared" si="0"/>
        <v>0</v>
      </c>
      <c r="G10" s="573">
        <f t="shared" si="0"/>
        <v>0</v>
      </c>
      <c r="H10" s="573">
        <f t="shared" si="0"/>
        <v>0</v>
      </c>
      <c r="I10" s="573">
        <f t="shared" si="0"/>
        <v>0</v>
      </c>
      <c r="J10" s="573">
        <f t="shared" si="0"/>
        <v>3214.2857142857147</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34042</v>
      </c>
      <c r="C64" s="791">
        <v>8552</v>
      </c>
      <c r="D64" s="646" t="s">
        <v>913</v>
      </c>
      <c r="E64" s="646" t="s">
        <v>914</v>
      </c>
      <c r="F64" s="646" t="s">
        <v>915</v>
      </c>
      <c r="G64" s="646" t="s">
        <v>916</v>
      </c>
      <c r="H64" s="646" t="s">
        <v>917</v>
      </c>
      <c r="I64" s="646" t="s">
        <v>918</v>
      </c>
      <c r="J64" s="790">
        <v>41474</v>
      </c>
      <c r="K64" s="790">
        <v>41474</v>
      </c>
      <c r="L64" s="646" t="s">
        <v>919</v>
      </c>
      <c r="M64" s="646">
        <v>600</v>
      </c>
      <c r="N64" s="646">
        <v>1125</v>
      </c>
      <c r="O64" s="646">
        <v>0</v>
      </c>
      <c r="P64" s="646">
        <v>0</v>
      </c>
      <c r="Q64" s="646">
        <v>3214.2857142857147</v>
      </c>
      <c r="R64" s="646">
        <v>0</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600</v>
      </c>
      <c r="N89" s="601">
        <f t="shared" ref="N89:W89" si="5">SUM(N64:N88)</f>
        <v>1125</v>
      </c>
      <c r="O89" s="601">
        <f t="shared" si="5"/>
        <v>0</v>
      </c>
      <c r="P89" s="601">
        <f t="shared" si="5"/>
        <v>0</v>
      </c>
      <c r="Q89" s="601">
        <f t="shared" si="5"/>
        <v>3214.2857142857147</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600</v>
      </c>
      <c r="N91" s="601">
        <f t="shared" si="7"/>
        <v>1125</v>
      </c>
      <c r="O91" s="601">
        <f t="shared" si="7"/>
        <v>0</v>
      </c>
      <c r="P91" s="601">
        <f t="shared" si="7"/>
        <v>0</v>
      </c>
      <c r="Q91" s="601">
        <f t="shared" si="7"/>
        <v>3214.2857142857147</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45395.9449832299</v>
      </c>
      <c r="C4" s="462">
        <f>huishoudens!C8</f>
        <v>0</v>
      </c>
      <c r="D4" s="462">
        <f>huishoudens!D8</f>
        <v>78497.430243083771</v>
      </c>
      <c r="E4" s="462">
        <f>huishoudens!E8</f>
        <v>4030.3903394308004</v>
      </c>
      <c r="F4" s="462">
        <f>huishoudens!F8</f>
        <v>56404.912993879028</v>
      </c>
      <c r="G4" s="462">
        <f>huishoudens!G8</f>
        <v>0</v>
      </c>
      <c r="H4" s="462">
        <f>huishoudens!H8</f>
        <v>0</v>
      </c>
      <c r="I4" s="462">
        <f>huishoudens!I8</f>
        <v>0</v>
      </c>
      <c r="J4" s="462">
        <f>huishoudens!J8</f>
        <v>2742.0392246017454</v>
      </c>
      <c r="K4" s="462">
        <f>huishoudens!K8</f>
        <v>0</v>
      </c>
      <c r="L4" s="462">
        <f>huishoudens!L8</f>
        <v>0</v>
      </c>
      <c r="M4" s="462">
        <f>huishoudens!M8</f>
        <v>0</v>
      </c>
      <c r="N4" s="462">
        <f>huishoudens!N8</f>
        <v>21651.959307255216</v>
      </c>
      <c r="O4" s="462">
        <f>huishoudens!O8</f>
        <v>306.41333333333336</v>
      </c>
      <c r="P4" s="463">
        <f>huishoudens!P8</f>
        <v>648.26666666666665</v>
      </c>
      <c r="Q4" s="464">
        <f>SUM(B4:P4)</f>
        <v>209677.35709148046</v>
      </c>
    </row>
    <row r="5" spans="1:17">
      <c r="A5" s="461" t="s">
        <v>156</v>
      </c>
      <c r="B5" s="462">
        <f ca="1">tertiair!B16</f>
        <v>24261.062053015376</v>
      </c>
      <c r="C5" s="462">
        <f ca="1">tertiair!C16</f>
        <v>0</v>
      </c>
      <c r="D5" s="462">
        <f ca="1">tertiair!D16</f>
        <v>22985.392400864697</v>
      </c>
      <c r="E5" s="462">
        <f>tertiair!E16</f>
        <v>273.01813014641709</v>
      </c>
      <c r="F5" s="462">
        <f ca="1">tertiair!F16</f>
        <v>4740.3881137658436</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7.8166666666666664</v>
      </c>
      <c r="P5" s="463">
        <f>tertiair!P16</f>
        <v>19.066666666666666</v>
      </c>
      <c r="Q5" s="461">
        <f t="shared" ref="Q5:Q14" ca="1" si="0">SUM(B5:P5)</f>
        <v>52286.744031125665</v>
      </c>
    </row>
    <row r="6" spans="1:17">
      <c r="A6" s="461" t="s">
        <v>194</v>
      </c>
      <c r="B6" s="462">
        <f>'openbare verlichting'!B8</f>
        <v>1979.875</v>
      </c>
      <c r="C6" s="462"/>
      <c r="D6" s="462"/>
      <c r="E6" s="462"/>
      <c r="F6" s="462"/>
      <c r="G6" s="462"/>
      <c r="H6" s="462"/>
      <c r="I6" s="462"/>
      <c r="J6" s="462"/>
      <c r="K6" s="462"/>
      <c r="L6" s="462"/>
      <c r="M6" s="462"/>
      <c r="N6" s="462"/>
      <c r="O6" s="462"/>
      <c r="P6" s="463"/>
      <c r="Q6" s="461">
        <f t="shared" si="0"/>
        <v>1979.875</v>
      </c>
    </row>
    <row r="7" spans="1:17">
      <c r="A7" s="461" t="s">
        <v>112</v>
      </c>
      <c r="B7" s="462">
        <f>landbouw!B8</f>
        <v>2441.1413572853003</v>
      </c>
      <c r="C7" s="462">
        <f>landbouw!C8</f>
        <v>0</v>
      </c>
      <c r="D7" s="462">
        <f>landbouw!D8</f>
        <v>637.77383056127837</v>
      </c>
      <c r="E7" s="462">
        <f>landbouw!E8</f>
        <v>30.761525931271503</v>
      </c>
      <c r="F7" s="462">
        <f>landbouw!F8</f>
        <v>8422.5492250854459</v>
      </c>
      <c r="G7" s="462">
        <f>landbouw!G8</f>
        <v>0</v>
      </c>
      <c r="H7" s="462">
        <f>landbouw!H8</f>
        <v>0</v>
      </c>
      <c r="I7" s="462">
        <f>landbouw!I8</f>
        <v>0</v>
      </c>
      <c r="J7" s="462">
        <f>landbouw!J8</f>
        <v>367.11991022014519</v>
      </c>
      <c r="K7" s="462">
        <f>landbouw!K8</f>
        <v>0</v>
      </c>
      <c r="L7" s="462">
        <f>landbouw!L8</f>
        <v>0</v>
      </c>
      <c r="M7" s="462">
        <f>landbouw!M8</f>
        <v>0</v>
      </c>
      <c r="N7" s="462">
        <f>landbouw!N8</f>
        <v>0</v>
      </c>
      <c r="O7" s="462">
        <f>landbouw!O8</f>
        <v>0</v>
      </c>
      <c r="P7" s="463">
        <f>landbouw!P8</f>
        <v>0</v>
      </c>
      <c r="Q7" s="461">
        <f t="shared" si="0"/>
        <v>11899.34584908344</v>
      </c>
    </row>
    <row r="8" spans="1:17">
      <c r="A8" s="461" t="s">
        <v>657</v>
      </c>
      <c r="B8" s="462">
        <f>industrie!B18</f>
        <v>35481.707131667914</v>
      </c>
      <c r="C8" s="462">
        <f>industrie!C18</f>
        <v>0</v>
      </c>
      <c r="D8" s="462">
        <f>industrie!D18</f>
        <v>152356.8574948592</v>
      </c>
      <c r="E8" s="462">
        <f>industrie!E18</f>
        <v>1370.4635649564982</v>
      </c>
      <c r="F8" s="462">
        <f>industrie!F18</f>
        <v>5973.3992867934248</v>
      </c>
      <c r="G8" s="462">
        <f>industrie!G18</f>
        <v>0</v>
      </c>
      <c r="H8" s="462">
        <f>industrie!H18</f>
        <v>0</v>
      </c>
      <c r="I8" s="462">
        <f>industrie!I18</f>
        <v>0</v>
      </c>
      <c r="J8" s="462">
        <f>industrie!J18</f>
        <v>37.75503112489924</v>
      </c>
      <c r="K8" s="462">
        <f>industrie!K18</f>
        <v>0</v>
      </c>
      <c r="L8" s="462">
        <f>industrie!L18</f>
        <v>0</v>
      </c>
      <c r="M8" s="462">
        <f>industrie!M18</f>
        <v>0</v>
      </c>
      <c r="N8" s="462">
        <f>industrie!N18</f>
        <v>3935.2027742826754</v>
      </c>
      <c r="O8" s="462">
        <f>industrie!O18</f>
        <v>0</v>
      </c>
      <c r="P8" s="463">
        <f>industrie!P18</f>
        <v>0</v>
      </c>
      <c r="Q8" s="461">
        <f t="shared" si="0"/>
        <v>199155.38528368459</v>
      </c>
    </row>
    <row r="9" spans="1:17" s="467" customFormat="1">
      <c r="A9" s="465" t="s">
        <v>574</v>
      </c>
      <c r="B9" s="466">
        <f>transport!B14</f>
        <v>4.2892284161874006</v>
      </c>
      <c r="C9" s="466">
        <f>transport!C14</f>
        <v>0</v>
      </c>
      <c r="D9" s="466">
        <f>transport!D14</f>
        <v>8.5660657577065304</v>
      </c>
      <c r="E9" s="466">
        <f>transport!E14</f>
        <v>254.95160338926789</v>
      </c>
      <c r="F9" s="466">
        <f>transport!F14</f>
        <v>0</v>
      </c>
      <c r="G9" s="466">
        <f>transport!G14</f>
        <v>61772.769503842188</v>
      </c>
      <c r="H9" s="466">
        <f>transport!H14</f>
        <v>12661.00212411531</v>
      </c>
      <c r="I9" s="466">
        <f>transport!I14</f>
        <v>0</v>
      </c>
      <c r="J9" s="466">
        <f>transport!J14</f>
        <v>0</v>
      </c>
      <c r="K9" s="466">
        <f>transport!K14</f>
        <v>0</v>
      </c>
      <c r="L9" s="466">
        <f>transport!L14</f>
        <v>0</v>
      </c>
      <c r="M9" s="466">
        <f>transport!M14</f>
        <v>3365.6957879039865</v>
      </c>
      <c r="N9" s="466">
        <f>transport!N14</f>
        <v>0</v>
      </c>
      <c r="O9" s="466">
        <f>transport!O14</f>
        <v>0</v>
      </c>
      <c r="P9" s="466">
        <f>transport!P14</f>
        <v>0</v>
      </c>
      <c r="Q9" s="465">
        <f>SUM(B9:P9)</f>
        <v>78067.274313424641</v>
      </c>
    </row>
    <row r="10" spans="1:17">
      <c r="A10" s="461" t="s">
        <v>564</v>
      </c>
      <c r="B10" s="462">
        <f>transport!B54</f>
        <v>0</v>
      </c>
      <c r="C10" s="462">
        <f>transport!C54</f>
        <v>0</v>
      </c>
      <c r="D10" s="462">
        <f>transport!D54</f>
        <v>0</v>
      </c>
      <c r="E10" s="462">
        <f>transport!E54</f>
        <v>0</v>
      </c>
      <c r="F10" s="462">
        <f>transport!F54</f>
        <v>0</v>
      </c>
      <c r="G10" s="462">
        <f>transport!G54</f>
        <v>1139.8565474176817</v>
      </c>
      <c r="H10" s="462">
        <f>transport!H54</f>
        <v>0</v>
      </c>
      <c r="I10" s="462">
        <f>transport!I54</f>
        <v>0</v>
      </c>
      <c r="J10" s="462">
        <f>transport!J54</f>
        <v>0</v>
      </c>
      <c r="K10" s="462">
        <f>transport!K54</f>
        <v>0</v>
      </c>
      <c r="L10" s="462">
        <f>transport!L54</f>
        <v>0</v>
      </c>
      <c r="M10" s="462">
        <f>transport!M54</f>
        <v>50.69220865746265</v>
      </c>
      <c r="N10" s="462">
        <f>transport!N54</f>
        <v>0</v>
      </c>
      <c r="O10" s="462">
        <f>transport!O54</f>
        <v>0</v>
      </c>
      <c r="P10" s="463">
        <f>transport!P54</f>
        <v>0</v>
      </c>
      <c r="Q10" s="461">
        <f t="shared" si="0"/>
        <v>1190.5487560751444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1277.1536658802499</v>
      </c>
      <c r="C14" s="469"/>
      <c r="D14" s="469">
        <f>'SEAP template'!E25</f>
        <v>3361.66932225457</v>
      </c>
      <c r="E14" s="469"/>
      <c r="F14" s="469"/>
      <c r="G14" s="469"/>
      <c r="H14" s="469"/>
      <c r="I14" s="469"/>
      <c r="J14" s="469"/>
      <c r="K14" s="469"/>
      <c r="L14" s="469"/>
      <c r="M14" s="469"/>
      <c r="N14" s="469"/>
      <c r="O14" s="469"/>
      <c r="P14" s="470"/>
      <c r="Q14" s="461">
        <f t="shared" si="0"/>
        <v>4638.8229881348198</v>
      </c>
    </row>
    <row r="15" spans="1:17" s="474" customFormat="1">
      <c r="A15" s="471" t="s">
        <v>568</v>
      </c>
      <c r="B15" s="472">
        <f ca="1">SUM(B4:B14)</f>
        <v>110841.17341949495</v>
      </c>
      <c r="C15" s="472">
        <f t="shared" ref="C15:Q15" ca="1" si="1">SUM(C4:C14)</f>
        <v>0</v>
      </c>
      <c r="D15" s="472">
        <f t="shared" ca="1" si="1"/>
        <v>257847.68935738123</v>
      </c>
      <c r="E15" s="472">
        <f t="shared" si="1"/>
        <v>5959.5851638542545</v>
      </c>
      <c r="F15" s="472">
        <f t="shared" ca="1" si="1"/>
        <v>75541.249619523747</v>
      </c>
      <c r="G15" s="472">
        <f t="shared" si="1"/>
        <v>62912.626051259867</v>
      </c>
      <c r="H15" s="472">
        <f t="shared" si="1"/>
        <v>12661.00212411531</v>
      </c>
      <c r="I15" s="472">
        <f t="shared" si="1"/>
        <v>0</v>
      </c>
      <c r="J15" s="472">
        <f t="shared" si="1"/>
        <v>3146.91416594679</v>
      </c>
      <c r="K15" s="472">
        <f t="shared" si="1"/>
        <v>0</v>
      </c>
      <c r="L15" s="472">
        <f t="shared" ca="1" si="1"/>
        <v>0</v>
      </c>
      <c r="M15" s="472">
        <f t="shared" si="1"/>
        <v>3416.3879965614492</v>
      </c>
      <c r="N15" s="472">
        <f t="shared" ca="1" si="1"/>
        <v>25587.162081537892</v>
      </c>
      <c r="O15" s="472">
        <f t="shared" si="1"/>
        <v>314.23</v>
      </c>
      <c r="P15" s="472">
        <f t="shared" si="1"/>
        <v>667.33333333333337</v>
      </c>
      <c r="Q15" s="472">
        <f t="shared" ca="1" si="1"/>
        <v>558895.35331300867</v>
      </c>
    </row>
    <row r="17" spans="1:17">
      <c r="A17" s="475" t="s">
        <v>569</v>
      </c>
      <c r="B17" s="781">
        <f ca="1">huishoudens!B10</f>
        <v>0.19638979139304902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8915.3001653468509</v>
      </c>
      <c r="C22" s="462">
        <f t="shared" ref="C22:C32" ca="1" si="3">C4*$C$17</f>
        <v>0</v>
      </c>
      <c r="D22" s="462">
        <f t="shared" ref="D22:D32" si="4">D4*$D$17</f>
        <v>15856.480909102922</v>
      </c>
      <c r="E22" s="462">
        <f t="shared" ref="E22:E32" si="5">E4*$E$17</f>
        <v>914.89860705079172</v>
      </c>
      <c r="F22" s="462">
        <f t="shared" ref="F22:F32" si="6">F4*$F$17</f>
        <v>15060.111769365702</v>
      </c>
      <c r="G22" s="462">
        <f t="shared" ref="G22:G32" si="7">G4*$G$17</f>
        <v>0</v>
      </c>
      <c r="H22" s="462">
        <f t="shared" ref="H22:H32" si="8">H4*$H$17</f>
        <v>0</v>
      </c>
      <c r="I22" s="462">
        <f t="shared" ref="I22:I32" si="9">I4*$I$17</f>
        <v>0</v>
      </c>
      <c r="J22" s="462">
        <f t="shared" ref="J22:J32" si="10">J4*$J$17</f>
        <v>970.68188550901789</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41717.473336375282</v>
      </c>
    </row>
    <row r="23" spans="1:17">
      <c r="A23" s="461" t="s">
        <v>156</v>
      </c>
      <c r="B23" s="462">
        <f t="shared" ca="1" si="2"/>
        <v>4764.6249155655069</v>
      </c>
      <c r="C23" s="462">
        <f t="shared" ca="1" si="3"/>
        <v>0</v>
      </c>
      <c r="D23" s="462">
        <f t="shared" ca="1" si="4"/>
        <v>4643.0492649746693</v>
      </c>
      <c r="E23" s="462">
        <f t="shared" si="5"/>
        <v>61.975115543236683</v>
      </c>
      <c r="F23" s="462">
        <f t="shared" ca="1" si="6"/>
        <v>1265.6836263754803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10735.332922458892</v>
      </c>
    </row>
    <row r="24" spans="1:17">
      <c r="A24" s="461" t="s">
        <v>194</v>
      </c>
      <c r="B24" s="462">
        <f t="shared" ca="1" si="2"/>
        <v>388.82723823431292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388.82723823431292</v>
      </c>
    </row>
    <row r="25" spans="1:17">
      <c r="A25" s="461" t="s">
        <v>112</v>
      </c>
      <c r="B25" s="462">
        <f t="shared" ca="1" si="2"/>
        <v>479.41524191820469</v>
      </c>
      <c r="C25" s="462">
        <f t="shared" ca="1" si="3"/>
        <v>0</v>
      </c>
      <c r="D25" s="462">
        <f t="shared" si="4"/>
        <v>128.83031377337824</v>
      </c>
      <c r="E25" s="462">
        <f t="shared" si="5"/>
        <v>6.9828663863986318</v>
      </c>
      <c r="F25" s="462">
        <f t="shared" si="6"/>
        <v>2248.8206430978144</v>
      </c>
      <c r="G25" s="462">
        <f t="shared" si="7"/>
        <v>0</v>
      </c>
      <c r="H25" s="462">
        <f t="shared" si="8"/>
        <v>0</v>
      </c>
      <c r="I25" s="462">
        <f t="shared" si="9"/>
        <v>0</v>
      </c>
      <c r="J25" s="462">
        <f t="shared" si="10"/>
        <v>129.9604482179314</v>
      </c>
      <c r="K25" s="462">
        <f t="shared" si="11"/>
        <v>0</v>
      </c>
      <c r="L25" s="462">
        <f t="shared" si="12"/>
        <v>0</v>
      </c>
      <c r="M25" s="462">
        <f t="shared" si="13"/>
        <v>0</v>
      </c>
      <c r="N25" s="462">
        <f t="shared" si="14"/>
        <v>0</v>
      </c>
      <c r="O25" s="462">
        <f t="shared" si="15"/>
        <v>0</v>
      </c>
      <c r="P25" s="463">
        <f t="shared" si="16"/>
        <v>0</v>
      </c>
      <c r="Q25" s="461">
        <f t="shared" ca="1" si="17"/>
        <v>2994.0095133937275</v>
      </c>
    </row>
    <row r="26" spans="1:17">
      <c r="A26" s="461" t="s">
        <v>657</v>
      </c>
      <c r="B26" s="462">
        <f t="shared" ca="1" si="2"/>
        <v>6968.2450618575213</v>
      </c>
      <c r="C26" s="462">
        <f t="shared" ca="1" si="3"/>
        <v>0</v>
      </c>
      <c r="D26" s="462">
        <f t="shared" si="4"/>
        <v>30776.08521396156</v>
      </c>
      <c r="E26" s="462">
        <f t="shared" si="5"/>
        <v>311.0952292451251</v>
      </c>
      <c r="F26" s="462">
        <f t="shared" si="6"/>
        <v>1594.8976095738444</v>
      </c>
      <c r="G26" s="462">
        <f t="shared" si="7"/>
        <v>0</v>
      </c>
      <c r="H26" s="462">
        <f t="shared" si="8"/>
        <v>0</v>
      </c>
      <c r="I26" s="462">
        <f t="shared" si="9"/>
        <v>0</v>
      </c>
      <c r="J26" s="462">
        <f t="shared" si="10"/>
        <v>13.365281018214331</v>
      </c>
      <c r="K26" s="462">
        <f t="shared" si="11"/>
        <v>0</v>
      </c>
      <c r="L26" s="462">
        <f t="shared" si="12"/>
        <v>0</v>
      </c>
      <c r="M26" s="462">
        <f t="shared" si="13"/>
        <v>0</v>
      </c>
      <c r="N26" s="462">
        <f t="shared" si="14"/>
        <v>0</v>
      </c>
      <c r="O26" s="462">
        <f t="shared" si="15"/>
        <v>0</v>
      </c>
      <c r="P26" s="463">
        <f t="shared" si="16"/>
        <v>0</v>
      </c>
      <c r="Q26" s="461">
        <f t="shared" ca="1" si="17"/>
        <v>39663.688395656274</v>
      </c>
    </row>
    <row r="27" spans="1:17" s="467" customFormat="1">
      <c r="A27" s="465" t="s">
        <v>574</v>
      </c>
      <c r="B27" s="775">
        <f t="shared" ca="1" si="2"/>
        <v>0.84236067389218161</v>
      </c>
      <c r="C27" s="466">
        <f t="shared" ca="1" si="3"/>
        <v>0</v>
      </c>
      <c r="D27" s="466">
        <f t="shared" si="4"/>
        <v>1.7303452830567192</v>
      </c>
      <c r="E27" s="466">
        <f t="shared" si="5"/>
        <v>57.874013969363816</v>
      </c>
      <c r="F27" s="466">
        <f t="shared" si="6"/>
        <v>0</v>
      </c>
      <c r="G27" s="466">
        <f t="shared" si="7"/>
        <v>16493.329457525866</v>
      </c>
      <c r="H27" s="466">
        <f t="shared" si="8"/>
        <v>3152.5895289047121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19706.36570635689</v>
      </c>
    </row>
    <row r="28" spans="1:17">
      <c r="A28" s="461" t="s">
        <v>564</v>
      </c>
      <c r="B28" s="462">
        <f t="shared" ca="1" si="2"/>
        <v>0</v>
      </c>
      <c r="C28" s="462">
        <f t="shared" ca="1" si="3"/>
        <v>0</v>
      </c>
      <c r="D28" s="462">
        <f t="shared" si="4"/>
        <v>0</v>
      </c>
      <c r="E28" s="462">
        <f t="shared" si="5"/>
        <v>0</v>
      </c>
      <c r="F28" s="462">
        <f t="shared" si="6"/>
        <v>0</v>
      </c>
      <c r="G28" s="462">
        <f t="shared" si="7"/>
        <v>304.34169816052105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304.34169816052105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250.81994201909012</v>
      </c>
      <c r="C32" s="462">
        <f t="shared" ca="1" si="3"/>
        <v>0</v>
      </c>
      <c r="D32" s="462">
        <f t="shared" si="4"/>
        <v>679.05720309542323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929.87714511451338</v>
      </c>
    </row>
    <row r="33" spans="1:17" s="474" customFormat="1">
      <c r="A33" s="471" t="s">
        <v>568</v>
      </c>
      <c r="B33" s="472">
        <f ca="1">SUM(B22:B32)</f>
        <v>21768.074925615379</v>
      </c>
      <c r="C33" s="472">
        <f t="shared" ref="C33:Q33" ca="1" si="18">SUM(C22:C32)</f>
        <v>0</v>
      </c>
      <c r="D33" s="472">
        <f t="shared" ca="1" si="18"/>
        <v>52085.233250191006</v>
      </c>
      <c r="E33" s="472">
        <f t="shared" si="18"/>
        <v>1352.8258321949161</v>
      </c>
      <c r="F33" s="472">
        <f t="shared" ca="1" si="18"/>
        <v>20169.513648412838</v>
      </c>
      <c r="G33" s="472">
        <f t="shared" si="18"/>
        <v>16797.671155686388</v>
      </c>
      <c r="H33" s="472">
        <f t="shared" si="18"/>
        <v>3152.5895289047121</v>
      </c>
      <c r="I33" s="472">
        <f t="shared" si="18"/>
        <v>0</v>
      </c>
      <c r="J33" s="472">
        <f t="shared" si="18"/>
        <v>1114.0076147451637</v>
      </c>
      <c r="K33" s="472">
        <f t="shared" si="18"/>
        <v>0</v>
      </c>
      <c r="L33" s="472">
        <f t="shared" ca="1" si="18"/>
        <v>0</v>
      </c>
      <c r="M33" s="472">
        <f t="shared" si="18"/>
        <v>0</v>
      </c>
      <c r="N33" s="472">
        <f t="shared" ca="1" si="18"/>
        <v>0</v>
      </c>
      <c r="O33" s="472">
        <f t="shared" si="18"/>
        <v>0</v>
      </c>
      <c r="P33" s="472">
        <f t="shared" si="18"/>
        <v>0</v>
      </c>
      <c r="Q33" s="472">
        <f t="shared" ca="1" si="18"/>
        <v>116439.91595575042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3772.3168329999999</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7445.78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1125</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3214.2857142857147</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12343.096833</v>
      </c>
      <c r="C10" s="1051">
        <f>SUM(C4:C9)</f>
        <v>0</v>
      </c>
      <c r="D10" s="1051">
        <f t="shared" ref="D10:H10" si="0">SUM(D8:D9)</f>
        <v>0</v>
      </c>
      <c r="E10" s="1051">
        <f t="shared" si="0"/>
        <v>0</v>
      </c>
      <c r="F10" s="1051">
        <f t="shared" si="0"/>
        <v>0</v>
      </c>
      <c r="G10" s="1051">
        <f t="shared" si="0"/>
        <v>0</v>
      </c>
      <c r="H10" s="1051">
        <f t="shared" si="0"/>
        <v>0</v>
      </c>
      <c r="I10" s="1051">
        <f>SUM(I8:I9)</f>
        <v>0</v>
      </c>
      <c r="J10" s="1051">
        <f>SUM(J8:J9)</f>
        <v>3214.2857142857147</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0.19638979139304902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0.19638979139304902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2019-08-12T08:03:04Z</dcterms:modified>
</cp:coreProperties>
</file>