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B10"/>
  <c r="I101"/>
  <c r="H8" s="1"/>
  <c r="H10" s="1"/>
  <c r="H101"/>
  <c r="B101"/>
  <c r="C8" s="1"/>
  <c r="C10" s="1"/>
  <c r="C101"/>
  <c r="D101"/>
  <c r="F101"/>
  <c r="G101"/>
  <c r="O9"/>
  <c r="B8"/>
  <c r="B20"/>
  <c r="O19"/>
  <c r="D102"/>
  <c r="H102"/>
  <c r="E101"/>
  <c r="E8" s="1"/>
  <c r="E10" s="1"/>
  <c r="E102"/>
  <c r="E17" s="1"/>
  <c r="E20" s="1"/>
  <c r="N6" i="17"/>
  <c r="I8" i="18" l="1"/>
  <c r="I10" s="1"/>
  <c r="I17"/>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K78" i="14"/>
  <c r="K8" i="59"/>
  <c r="K10" s="1"/>
  <c r="E90" i="14"/>
  <c r="E18" i="59"/>
  <c r="O28" i="48"/>
  <c r="D22" i="14"/>
  <c r="L22"/>
  <c r="K20" i="59"/>
  <c r="L20"/>
  <c r="D14" i="48"/>
  <c r="L10" i="59"/>
  <c r="E20"/>
  <c r="E10"/>
  <c r="G22" i="14"/>
  <c r="O22"/>
  <c r="P22"/>
  <c r="O25" i="48"/>
  <c r="N78" i="14"/>
  <c r="K90"/>
  <c r="L90"/>
  <c r="H90"/>
  <c r="L13" i="15"/>
  <c r="N13"/>
  <c r="F77" i="14"/>
  <c r="O78"/>
  <c r="N88"/>
  <c r="E78"/>
  <c r="H77"/>
  <c r="H9" i="59" s="1"/>
  <c r="H10" s="1"/>
  <c r="O88" i="14"/>
  <c r="G89"/>
  <c r="G78"/>
  <c r="O31" i="48"/>
  <c r="O27"/>
  <c r="O29"/>
  <c r="P31"/>
  <c r="O24"/>
  <c r="O30"/>
  <c r="P24"/>
  <c r="P30"/>
  <c r="R9" i="14"/>
  <c r="R25"/>
  <c r="B77" l="1"/>
  <c r="B9" i="59" s="1"/>
  <c r="F9"/>
  <c r="O90" i="14"/>
  <c r="O18" i="59"/>
  <c r="O20" s="1"/>
  <c r="C89" i="14"/>
  <c r="C19" i="59" s="1"/>
  <c r="G19"/>
  <c r="G20" s="1"/>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90" l="1"/>
  <c r="J17" i="59"/>
  <c r="J20" s="1"/>
  <c r="Q90" i="14"/>
  <c r="B17" i="6" s="1"/>
  <c r="P17" i="59"/>
  <c r="P20" s="1"/>
  <c r="Q78" i="14"/>
  <c r="B9" i="6" s="1"/>
  <c r="P8" i="59"/>
  <c r="P10" s="1"/>
  <c r="J78" i="14"/>
  <c r="J8" i="59"/>
  <c r="J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L32"/>
  <c r="L28"/>
  <c r="L29"/>
  <c r="L24"/>
  <c r="L31"/>
  <c r="L22"/>
  <c r="L30"/>
  <c r="L27"/>
  <c r="P5"/>
  <c r="P23" s="1"/>
  <c r="Q10" i="14"/>
  <c r="K32" i="48"/>
  <c r="K28"/>
  <c r="K26"/>
  <c r="K25"/>
  <c r="K22"/>
  <c r="K31"/>
  <c r="K30"/>
  <c r="K29"/>
  <c r="K24"/>
  <c r="K27"/>
  <c r="B7"/>
  <c r="C24" i="14"/>
  <c r="C26" s="1"/>
  <c r="J29" i="48"/>
  <c r="J31"/>
  <c r="J32"/>
  <c r="J30"/>
  <c r="J27"/>
  <c r="J28"/>
  <c r="J24"/>
  <c r="P4"/>
  <c r="Q11" i="14"/>
  <c r="O4" i="48"/>
  <c r="P11" i="14"/>
  <c r="I28" i="48"/>
  <c r="I29"/>
  <c r="I31"/>
  <c r="I26"/>
  <c r="I32"/>
  <c r="I25"/>
  <c r="I27"/>
  <c r="I24"/>
  <c r="I22"/>
  <c r="I30"/>
  <c r="E11" i="14"/>
  <c r="D4" i="48"/>
  <c r="D22" s="1"/>
  <c r="H29"/>
  <c r="H26"/>
  <c r="H32"/>
  <c r="H25"/>
  <c r="H22"/>
  <c r="H30"/>
  <c r="H24"/>
  <c r="H28"/>
  <c r="H23"/>
  <c r="D11" i="14"/>
  <c r="C4" i="48"/>
  <c r="G32"/>
  <c r="G26"/>
  <c r="G29"/>
  <c r="G24"/>
  <c r="G22"/>
  <c r="G25"/>
  <c r="G30"/>
  <c r="G23"/>
  <c r="C11" i="14"/>
  <c r="B4" i="48"/>
  <c r="F29"/>
  <c r="F32"/>
  <c r="F31"/>
  <c r="F28"/>
  <c r="F24"/>
  <c r="F27"/>
  <c r="F30"/>
  <c r="N29"/>
  <c r="N32"/>
  <c r="N28"/>
  <c r="N31"/>
  <c r="N27"/>
  <c r="N30"/>
  <c r="N24"/>
  <c r="C19" i="14"/>
  <c r="B10" i="48"/>
  <c r="E32"/>
  <c r="E28"/>
  <c r="E31"/>
  <c r="E29"/>
  <c r="E30"/>
  <c r="E24"/>
  <c r="M26"/>
  <c r="M22"/>
  <c r="M29"/>
  <c r="M32"/>
  <c r="M30"/>
  <c r="M25"/>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I18"/>
  <c r="H13" i="48"/>
  <c r="H31" s="1"/>
  <c r="K15"/>
  <c r="K23"/>
  <c r="E9"/>
  <c r="F20" i="14"/>
  <c r="F22" s="1"/>
  <c r="P22" i="16"/>
  <c r="Q43" i="14" s="1"/>
  <c r="P8" i="48"/>
  <c r="P26" s="1"/>
  <c r="Q13" i="14"/>
  <c r="D9" i="48"/>
  <c r="D27" s="1"/>
  <c r="E20" i="14"/>
  <c r="E22" s="1"/>
  <c r="B9" i="48"/>
  <c r="C20" i="14"/>
  <c r="O5" i="48"/>
  <c r="O23" s="1"/>
  <c r="P10" i="14"/>
  <c r="G11"/>
  <c r="F4" i="48"/>
  <c r="F22" s="1"/>
  <c r="K24" i="14"/>
  <c r="K26" s="1"/>
  <c r="J7" i="48"/>
  <c r="J25" s="1"/>
  <c r="P22"/>
  <c r="P15"/>
  <c r="J10" i="14"/>
  <c r="J16" s="1"/>
  <c r="J27" s="1"/>
  <c r="I5" i="48"/>
  <c r="M12" i="22"/>
  <c r="N18" i="14"/>
  <c r="M13" i="48"/>
  <c r="M31" s="1"/>
  <c r="O22"/>
  <c r="Q16" i="14"/>
  <c r="Q27" s="1"/>
  <c r="L63"/>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K11"/>
  <c r="J4" i="48"/>
  <c r="E27"/>
  <c r="Q13"/>
  <c r="G31"/>
  <c r="M9"/>
  <c r="N20" i="14"/>
  <c r="H20"/>
  <c r="G9" i="48"/>
  <c r="P13" i="14"/>
  <c r="P16" s="1"/>
  <c r="P27" s="1"/>
  <c r="O8" i="48"/>
  <c r="O26" s="1"/>
  <c r="O33" s="1"/>
  <c r="I23"/>
  <c r="I33" s="1"/>
  <c r="I15"/>
  <c r="N19" i="14"/>
  <c r="M10" i="48"/>
  <c r="M28" s="1"/>
  <c r="F24" i="14"/>
  <c r="F26" s="1"/>
  <c r="E7" i="48"/>
  <c r="E25" s="1"/>
  <c r="H19" i="14"/>
  <c r="R19" s="1"/>
  <c r="G10" i="48"/>
  <c r="Q63" i="14"/>
  <c r="N22"/>
  <c r="N27" s="1"/>
  <c r="C22"/>
  <c r="P46"/>
  <c r="P61" s="1"/>
  <c r="Q46"/>
  <c r="Q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H9"/>
  <c r="I20" i="14"/>
  <c r="M27" i="48"/>
  <c r="M33" s="1"/>
  <c r="M15"/>
  <c r="E20" i="15"/>
  <c r="F40" i="14" s="1"/>
  <c r="E5" i="48"/>
  <c r="E23" s="1"/>
  <c r="F10" i="14"/>
  <c r="K10"/>
  <c r="J5" i="48"/>
  <c r="J23" s="1"/>
  <c r="G27"/>
  <c r="G33" s="1"/>
  <c r="G15"/>
  <c r="J22"/>
  <c r="N63" i="14"/>
  <c r="E61"/>
  <c r="P63"/>
  <c r="R11"/>
  <c r="O15" i="48"/>
  <c r="H22" i="14"/>
  <c r="H27" s="1"/>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E8" i="48"/>
  <c r="E26" s="1"/>
  <c r="E33" s="1"/>
  <c r="F13" i="14"/>
  <c r="F16" s="1"/>
  <c r="F27" s="1"/>
  <c r="F63" s="1"/>
  <c r="J22" i="16"/>
  <c r="K43" i="14" s="1"/>
  <c r="K46" s="1"/>
  <c r="K61" s="1"/>
  <c r="K13"/>
  <c r="J8" i="48"/>
  <c r="H27"/>
  <c r="H33" s="1"/>
  <c r="H15"/>
  <c r="Q9"/>
  <c r="H63" i="14"/>
  <c r="E15" i="48"/>
  <c r="K16" i="14"/>
  <c r="K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<sst xmlns="http://schemas.openxmlformats.org/spreadsheetml/2006/main" count="2441" uniqueCount="920">
  <si>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</si>
  <si>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</si>
  <si>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</si>
  <si>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</si>
  <si>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</si>
  <si>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</si>
  <si>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</si>
  <si>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</si>
  <si>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</si>
  <si>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</si>
  <si>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</si>
  <si>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</si>
  <si>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</si>
  <si>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</si>
  <si>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</si>
  <si>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</si>
  <si>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</si>
  <si>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</si>
  <si>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</si>
  <si>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</si>
  <si>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</si>
  <si>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</si>
  <si>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</si>
  <si>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</si>
  <si>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</si>
  <si>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</si>
  <si>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</si>
  <si>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</si>
  <si>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</si>
  <si>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</si>
  <si>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</si>
  <si>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</si>
  <si>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</si>
  <si>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</si>
  <si>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</si>
  <si>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</si>
  <si>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</si>
  <si>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</si>
  <si>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</si>
  <si>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</si>
  <si>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</si>
  <si>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</si>
  <si>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</si>
  <si>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</si>
  <si>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</si>
  <si>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</si>
  <si>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</si>
  <si>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</si>
  <si>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</si>
  <si>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</si>
  <si>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</si>
  <si>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</si>
  <si>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</si>
  <si>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</si>
  <si>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</si>
  <si>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</si>
  <si>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</si>
  <si>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</si>
  <si>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</si>
  <si>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</si>
  <si>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</si>
  <si>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</si>
  <si>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</si>
  <si>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</si>
  <si>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</si>
  <si>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</si>
  <si>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</si>
  <si>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</si>
  <si>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</si>
  <si>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</si>
  <si>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</si>
  <si>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</si>
  <si>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</si>
  <si>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</si>
  <si>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</si>
  <si>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</si>
  <si>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</si>
  <si>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</si>
  <si>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</si>
  <si>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</si>
  <si>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</si>
  <si>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</si>
  <si>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</si>
  <si>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</si>
  <si>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</si>
  <si>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</si>
  <si>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</si>
  <si>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</si>
  <si>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</si>
  <si>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</si>
  <si>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</si>
  <si>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</si>
  <si>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</si>
  <si>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</si>
  <si>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</si>
  <si>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</si>
  <si>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</si>
  <si>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</si>
  <si>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</si>
  <si>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</si>
  <si>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</si>
  <si>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</si>
  <si>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</si>
  <si>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</si>
  <si>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</si>
  <si>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</si>
  <si>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</si>
  <si>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</si>
  <si>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</si>
  <si>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</si>
  <si>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</si>
  <si>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</si>
  <si>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</si>
  <si>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</si>
  <si>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</si>
  <si>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</si>
  <si>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</si>
  <si>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</si>
  <si>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</si>
  <si>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</si>
  <si>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</si>
  <si>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</si>
  <si>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</si>
  <si>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</si>
  <si>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</si>
  <si>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</si>
  <si>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</si>
  <si>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</si>
  <si>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</si>
  <si>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</si>
  <si>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</si>
  <si>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</si>
  <si>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</si>
  <si>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</si>
  <si>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</si>
  <si>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</si>
  <si>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</si>
  <si>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</si>
  <si>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</si>
  <si>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</si>
  <si>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</si>
  <si>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</si>
  <si>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</si>
  <si>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</si>
  <si>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</si>
  <si>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</si>
  <si>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</si>
  <si>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</si>
  <si>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</si>
  <si>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</si>
  <si>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</si>
  <si>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</si>
  <si>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</si>
  <si>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</si>
  <si>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</si>
  <si>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</si>
  <si>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</si>
  <si>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</si>
  <si>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</si>
  <si>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</si>
  <si>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</si>
  <si>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</si>
  <si>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</si>
  <si>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</si>
  <si>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</si>
  <si>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</si>
  <si>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</si>
  <si>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</si>
  <si>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</si>
  <si>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</si>
  <si>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</si>
  <si>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</si>
  <si>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</si>
  <si>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</si>
  <si>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</si>
  <si>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</si>
  <si>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</si>
  <si>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</si>
  <si>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</si>
  <si>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</si>
  <si>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</si>
  <si>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</si>
  <si>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</si>
  <si>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</si>
  <si>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</si>
  <si>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</si>
  <si>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</si>
  <si>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</si>
  <si>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</si>
  <si>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</si>
  <si>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</si>
  <si>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</si>
  <si>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</si>
  <si>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</si>
  <si>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</si>
  <si>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</si>
  <si>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</si>
  <si>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</si>
  <si>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</si>
  <si>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</si>
  <si>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</si>
  <si>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</si>
  <si>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</si>
  <si>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</si>
  <si>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</si>
  <si>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</si>
  <si>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</si>
  <si>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</si>
  <si>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</si>
  <si>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</si>
  <si>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</si>
  <si>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</si>
  <si>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</si>
  <si>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</si>
  <si>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</si>
  <si>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</si>
  <si>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</si>
  <si>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</si>
  <si>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</si>
  <si>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</si>
  <si>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</si>
  <si>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</si>
  <si>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</si>
  <si>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</si>
  <si>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</si>
  <si>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</si>
  <si>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</si>
  <si>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</si>
  <si>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</si>
  <si>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</si>
  <si>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</si>
  <si>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</si>
  <si>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</si>
  <si>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</si>
  <si>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</si>
  <si>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</si>
  <si>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</si>
  <si>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</si>
  <si>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</si>
  <si>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</si>
  <si>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</si>
  <si>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</si>
  <si>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</si>
  <si>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</si>
  <si>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</si>
  <si>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</si>
  <si>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</si>
  <si>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</si>
  <si>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</si>
  <si>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</si>
  <si>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</si>
  <si>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</si>
  <si>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</si>
  <si>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</si>
  <si>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</si>
  <si>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</si>
  <si>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</si>
  <si>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</si>
  <si>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</si>
  <si>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</si>
  <si>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</si>
  <si>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</si>
  <si>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</si>
  <si>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</si>
  <si>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</si>
  <si>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</si>
  <si>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</si>
  <si>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</si>
  <si>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</si>
  <si>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</si>
  <si>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</si>
  <si>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</si>
  <si>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</si>
  <si>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</si>
  <si>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</si>
  <si>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</si>
  <si>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</si>
  <si>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</si>
  <si>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</si>
  <si>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</si>
  <si>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</si>
  <si>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</si>
  <si>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</si>
  <si>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</si>
  <si>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</si>
  <si>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</si>
  <si>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</si>
  <si>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</si>
  <si>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</si>
  <si>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</si>
  <si>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</si>
  <si>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</si>
  <si>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</si>
  <si>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</si>
  <si>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</si>
  <si>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</si>
  <si>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</si>
  <si>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</si>
  <si>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</si>
  <si>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</si>
  <si>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</si>
  <si>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</si>
  <si>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</si>
  <si>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</si>
  <si>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</si>
  <si>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</si>
  <si>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</si>
  <si>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</si>
  <si>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</si>
  <si>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</si>
  <si>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</si>
  <si>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</si>
  <si>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</si>
  <si>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</si>
  <si>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</si>
  <si>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</si>
  <si>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</si>
  <si>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</si>
  <si>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</si>
  <si>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</si>
  <si>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</si>
  <si>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</si>
  <si>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</si>
  <si>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</si>
  <si>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</si>
  <si>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</si>
  <si>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</si>
  <si>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</si>
  <si>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</si>
  <si>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</si>
  <si>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</si>
  <si>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</si>
  <si>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</si>
  <si>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</si>
  <si>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</si>
  <si>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</si>
  <si>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</si>
  <si>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</si>
  <si>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</si>
  <si>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</si>
  <si>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</si>
  <si>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</si>
  <si>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</si>
  <si>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</si>
  <si>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</si>
  <si>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</si>
  <si>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</si>
  <si>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</si>
  <si>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</si>
  <si>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</si>
  <si>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</si>
  <si>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</si>
  <si>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</si>
  <si>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</si>
  <si>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</si>
  <si>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</si>
  <si>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</si>
  <si>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</si>
  <si>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</si>
  <si>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</si>
  <si>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</si>
  <si>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</si>
  <si>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</si>
  <si>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</si>
  <si>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</si>
  <si>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</si>
  <si>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</si>
  <si>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</si>
  <si>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</si>
  <si>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</si>
  <si>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</si>
  <si>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</si>
  <si>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</si>
  <si>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</si>
  <si>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</si>
  <si>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</si>
  <si>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</si>
  <si>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</si>
  <si>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</si>
  <si>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</si>
  <si>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</si>
  <si>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</si>
  <si>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</si>
  <si>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</si>
  <si>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</si>
  <si>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</si>
  <si>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</si>
  <si>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</si>
  <si>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</si>
  <si>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</si>
  <si>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</si>
  <si>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</si>
  <si>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</si>
  <si>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</si>
  <si>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</si>
  <si>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</si>
  <si>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</si>
  <si>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</si>
  <si>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</si>
  <si>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</si>
  <si>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</si>
  <si>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</si>
  <si>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</si>
  <si>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</si>
  <si>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</si>
  <si>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</si>
  <si>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</si>
  <si>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</si>
  <si>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</si>
  <si>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</si>
  <si>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</si>
  <si>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</si>
  <si>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</si>
  <si>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</si>
  <si>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</si>
  <si>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</si>
  <si>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</si>
  <si>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</si>
  <si>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</si>
  <si>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</si>
  <si>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</si>
  <si>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</si>
  <si>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</si>
  <si>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</si>
  <si>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</si>
  <si>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</si>
  <si>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</si>
  <si>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</si>
  <si>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</si>
  <si>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</si>
  <si>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</si>
  <si>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</si>
  <si>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</si>
  <si>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</si>
  <si>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</si>
  <si>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</si>
  <si>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</si>
  <si>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</si>
  <si>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</si>
  <si>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</si>
  <si>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</si>
  <si>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</si>
  <si>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</si>
  <si>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</si>
  <si>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</si>
  <si>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</si>
  <si>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</si>
  <si>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</si>
  <si>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</si>
  <si>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</si>
  <si>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</si>
  <si>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</si>
  <si>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</si>
  <si>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</si>
  <si>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</si>
  <si>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</si>
  <si>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</si>
  <si>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</si>
  <si>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</si>
  <si>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</si>
  <si>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</si>
  <si>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</si>
  <si>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</si>
  <si>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</si>
  <si>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</si>
  <si>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</si>
  <si>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</si>
  <si>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</si>
  <si>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</si>
  <si>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</si>
  <si>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</si>
  <si>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</si>
  <si>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</si>
  <si>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</si>
  <si>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</si>
  <si>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</si>
  <si>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</si>
  <si>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</si>
  <si>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</si>
  <si>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</si>
  <si>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</si>
  <si>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</si>
  <si>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</si>
  <si>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</si>
  <si>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</si>
  <si>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</si>
  <si>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</si>
  <si>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</si>
  <si>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</si>
  <si>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</si>
  <si>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</si>
  <si>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</si>
  <si>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</si>
  <si>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</si>
  <si>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</si>
  <si>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</si>
  <si>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</si>
  <si>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</si>
  <si>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</si>
  <si>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</si>
  <si>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</si>
  <si>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</si>
  <si>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</si>
  <si>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</si>
  <si>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</si>
  <si>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</si>
  <si>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</si>
  <si>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</si>
  <si>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</si>
  <si>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</si>
  <si>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</si>
  <si>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</si>
  <si>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</si>
  <si>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</si>
  <si>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</si>
  <si>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</si>
  <si>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</si>
  <si>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</si>
  <si>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</si>
  <si>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</si>
  <si>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</si>
  <si>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</si>
  <si>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</si>
  <si>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</si>
  <si>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</si>
  <si>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</si>
  <si>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</si>
  <si>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</si>
  <si>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</si>
  <si>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</si>
  <si>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</si>
  <si>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</si>
  <si>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</si>
  <si>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</si>
  <si>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</si>
  <si>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</si>
  <si>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</si>
  <si>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</si>
  <si>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</si>
  <si>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</si>
  <si>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</si>
  <si>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</si>
  <si>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</si>
  <si>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</si>
  <si>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</si>
  <si>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</si>
  <si>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</si>
  <si>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</si>
  <si>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</si>
  <si>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</si>
  <si>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</si>
  <si>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</si>
  <si>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</si>
  <si>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</si>
  <si>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</si>
  <si>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</si>
  <si>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</si>
  <si>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</si>
  <si>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</si>
  <si>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</si>
  <si>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</si>
  <si>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</si>
  <si>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</si>
  <si>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</si>
  <si>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</si>
  <si>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</si>
  <si>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</si>
  <si>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</si>
  <si>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</si>
  <si>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</si>
  <si>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</si>
  <si>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</si>
  <si>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</si>
  <si>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</si>
  <si>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</si>
  <si>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</si>
  <si>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</si>
  <si>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</si>
  <si>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</si>
  <si>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</si>
  <si>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</si>
  <si>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</si>
  <si>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</si>
  <si>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</si>
  <si>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</si>
  <si>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</si>
  <si>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</si>
  <si>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</si>
  <si>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</si>
  <si>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</si>
  <si>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</si>
  <si>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</si>
  <si>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</si>
  <si>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</si>
  <si>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</si>
  <si>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</si>
  <si>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</si>
  <si>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</si>
  <si>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</si>
  <si>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</si>
  <si>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</si>
  <si>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</si>
  <si>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</si>
  <si>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</si>
  <si>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</si>
  <si>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</si>
  <si>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</si>
  <si>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</si>
  <si>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</si>
  <si>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</si>
  <si>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</si>
  <si>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</si>
  <si>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</si>
  <si>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</si>
  <si>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</si>
  <si>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</si>
  <si>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</si>
  <si>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</si>
  <si>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</si>
  <si>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</si>
  <si>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</si>
  <si>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</si>
  <si>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</si>
  <si>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</si>
  <si>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</si>
  <si>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</si>
  <si>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</si>
  <si>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</si>
  <si>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</si>
  <si>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</si>
  <si>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</si>
  <si>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</si>
  <si>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</si>
  <si>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</si>
  <si>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</si>
  <si>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</si>
  <si>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</si>
  <si>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</si>
  <si>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</si>
  <si>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</si>
  <si>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</si>
  <si>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</si>
  <si>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</si>
  <si>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</si>
  <si>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</si>
  <si>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</si>
  <si>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</si>
  <si>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</si>
  <si>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</si>
  <si>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</si>
  <si>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</si>
  <si>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</si>
  <si>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</si>
  <si>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</si>
  <si>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</si>
  <si>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</si>
  <si>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</si>
  <si>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</si>
  <si>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</si>
  <si>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</si>
  <si>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</si>
  <si>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</si>
  <si>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</si>
  <si>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</si>
  <si>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</si>
  <si>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</si>
  <si>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</si>
  <si>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</si>
  <si>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</si>
  <si>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</si>
  <si>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</si>
  <si>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</si>
  <si>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</si>
  <si>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</si>
  <si>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</si>
  <si>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</si>
  <si>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</si>
  <si>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</si>
  <si>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</si>
  <si>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</si>
  <si>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</si>
  <si>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</si>
  <si>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</si>
  <si>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</si>
  <si>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</si>
  <si>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</si>
  <si>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</si>
  <si>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</si>
  <si>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</si>
  <si>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</si>
  <si>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</si>
  <si>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</si>
  <si>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</si>
  <si>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</si>
  <si>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</si>
  <si>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</si>
  <si>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</si>
  <si>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</si>
  <si>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</si>
  <si>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</si>
  <si>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</si>
  <si>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</si>
  <si>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</si>
  <si>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</si>
  <si>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</si>
  <si>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</si>
  <si>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</si>
  <si>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</si>
  <si>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</si>
  <si>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</si>
  <si>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</si>
  <si>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</si>
  <si>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</si>
  <si>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</si>
  <si>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</si>
  <si>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</si>
  <si>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</si>
  <si>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</si>
  <si>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</si>
  <si>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</si>
  <si>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</si>
  <si>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</si>
  <si>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</si>
  <si>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</si>
  <si>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</si>
  <si>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</si>
  <si>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</si>
  <si>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</si>
  <si>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</si>
  <si>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</si>
  <si>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</si>
  <si>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</si>
  <si>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</si>
  <si>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</si>
  <si>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</si>
  <si>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</si>
  <si>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</si>
  <si>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</si>
  <si>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</si>
  <si>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</si>
  <si>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</si>
  <si>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</si>
  <si>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</si>
  <si>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</si>
  <si>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</si>
  <si>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</si>
  <si>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</si>
  <si>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</si>
  <si>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</si>
  <si>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</si>
  <si>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</si>
  <si>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</si>
  <si>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</si>
  <si>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</si>
  <si>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</si>
  <si>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</si>
  <si>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</si>
  <si>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</si>
  <si>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</si>
  <si>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</si>
  <si>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</si>
  <si>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</si>
  <si>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</si>
  <si>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</si>
  <si>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</si>
  <si>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</si>
  <si>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</si>
  <si>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</si>
  <si>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</si>
  <si>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</si>
  <si>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</si>
  <si>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</si>
  <si>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</si>
  <si>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</si>
  <si>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</si>
  <si>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</si>
  <si>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</si>
  <si>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</si>
  <si>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</si>
  <si>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</si>
  <si>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</si>
  <si>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</si>
  <si>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</si>
  <si>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</si>
  <si>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</si>
  <si>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</si>
  <si>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</si>
  <si>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</si>
  <si>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</si>
  <si>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</si>
  <si>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</si>
  <si>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</si>
  <si>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</si>
  <si>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</si>
  <si>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</si>
  <si>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</si>
  <si>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</si>
  <si>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</si>
  <si>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</si>
  <si>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</si>
  <si>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</si>
  <si>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</si>
  <si>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</si>
  <si>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</si>
  <si>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</si>
  <si>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</si>
  <si>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</si>
  <si>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</si>
  <si>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</si>
  <si>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</si>
  <si>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</si>
  <si>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</si>
  <si>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</si>
  <si>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</si>
  <si>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</si>
  <si>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</si>
  <si>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</si>
  <si>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</si>
  <si>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</si>
  <si>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</si>
  <si>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</si>
  <si>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</si>
  <si>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</si>
  <si>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</si>
  <si>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</si>
  <si>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</si>
  <si>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</si>
  <si>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</si>
  <si>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</si>
  <si>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</si>
  <si>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</si>
  <si>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</si>
  <si>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</si>
  <si>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</si>
  <si>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</si>
  <si>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</si>
  <si>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</si>
  <si>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</si>
  <si>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</si>
  <si>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</si>
  <si>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</si>
  <si>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</si>
  <si>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</si>
  <si>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</si>
  <si>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</si>
  <si>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</si>
  <si>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</si>
  <si>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</si>
  <si>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</si>
  <si>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</si>
  <si>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</si>
  <si>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</si>
  <si>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</si>
  <si>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</si>
  <si>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</si>
  <si>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</si>
  <si>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</si>
  <si>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</si>
  <si>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</si>
  <si>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</si>
  <si>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</si>
  <si>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</si>
  <si>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</si>
  <si>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</si>
  <si>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</si>
  <si>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</si>
  <si>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</si>
  <si>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</si>
  <si>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</si>
  <si>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</si>
  <si>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</si>
  <si>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</si>
  <si>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</si>
  <si>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</si>
  <si>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</si>
  <si>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</si>
  <si>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</si>
  <si>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</si>
  <si>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</si>
  <si>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</si>
  <si>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</si>
  <si>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</si>
  <si>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</si>
  <si>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</si>
  <si>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</si>
  <si>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</si>
  <si>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</si>
  <si>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</si>
  <si>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</si>
  <si>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</si>
  <si>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</si>
  <si>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</si>
  <si>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</si>
  <si>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</si>
  <si>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</si>
  <si>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</si>
  <si>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</si>
  <si>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</si>
  <si>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</si>
  <si>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</si>
  <si>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</si>
  <si>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</si>
  <si>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</si>
  <si>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</si>
  <si>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</si>
  <si>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</si>
  <si>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34027</t>
  </si>
  <si>
    <t>MENEN</t>
  </si>
  <si>
    <t>Cultuurgrond (ha)</t>
  </si>
  <si>
    <t>Paarden&amp;pony's 200 - 600 kg</t>
  </si>
  <si>
    <t>Paarden&amp;pony's &lt; 200 kg</t>
  </si>
  <si>
    <t>op basis van VEA (maart 2018) en Inventaris Hernieuwbare Energiebronnen (juni 2018)</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</si>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</sst>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257445.68212926429</c:v>
                </c:pt>
                <c:pt idx="1">
                  <c:v>149602.8789841297</c:v>
                </c:pt>
                <c:pt idx="2">
                  <c:v>2598.2820000000002</c:v>
                </c:pt>
                <c:pt idx="3">
                  <c:v>5378.56799371749</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257445.68212926429</c:v>
                </c:pt>
                <c:pt idx="1">
                  <c:v>149602.8789841297</c:v>
                </c:pt>
                <c:pt idx="2">
                  <c:v>2598.2820000000002</c:v>
                </c:pt>
                <c:pt idx="3">
                  <c:v>5378.56799371749</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48863.085041194303</c:v>
                </c:pt>
                <c:pt idx="2">
                  <c:v>29499.618054203042</c:v>
                </c:pt>
                <c:pt idx="3">
                  <c:v>506.59655170313783</c:v>
                </c:pt>
                <c:pt idx="4">
                  <c:v>1343.9707537862939</c:v>
                </c:pt>
                <c:pt idx="5">
                  <c:v>24470.312682062238</c:v>
                </c:pt>
                <c:pt idx="6">
                  <c:v>47210.089691403431</c:v>
                </c:pt>
                <c:pt idx="7">
                  <c:v>591.83410206085807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48863.085041194303</c:v>
                </c:pt>
                <c:pt idx="2">
                  <c:v>29499.618054203042</c:v>
                </c:pt>
                <c:pt idx="3">
                  <c:v>506.59655170313783</c:v>
                </c:pt>
                <c:pt idx="4">
                  <c:v>1343.9707537862939</c:v>
                </c:pt>
                <c:pt idx="5">
                  <c:v>24470.312682062238</c:v>
                </c:pt>
                <c:pt idx="6">
                  <c:v>47210.089691403431</c:v>
                </c:pt>
                <c:pt idx="7">
                  <c:v>591.83410206085807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34027</v>
      </c>
      <c r="B6" s="398"/>
      <c r="C6" s="399"/>
    </row>
    <row r="7" spans="1:7" s="396" customFormat="1" ht="15.75" customHeight="1">
      <c r="A7" s="400" t="str">
        <f>txtMunicipality</f>
        <v>MENEN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0.19497366017358309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0.19497366017358309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14021</v>
      </c>
      <c r="C9" s="338">
        <v>14721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1463</v>
      </c>
    </row>
    <row r="15" spans="1:6">
      <c r="A15" s="1295" t="s">
        <v>184</v>
      </c>
      <c r="B15" s="335">
        <v>22</v>
      </c>
    </row>
    <row r="16" spans="1:6">
      <c r="A16" s="1295" t="s">
        <v>6</v>
      </c>
      <c r="B16" s="335">
        <v>475</v>
      </c>
    </row>
    <row r="17" spans="1:6">
      <c r="A17" s="1295" t="s">
        <v>7</v>
      </c>
      <c r="B17" s="335">
        <v>338</v>
      </c>
    </row>
    <row r="18" spans="1:6">
      <c r="A18" s="1295" t="s">
        <v>8</v>
      </c>
      <c r="B18" s="335">
        <v>436</v>
      </c>
    </row>
    <row r="19" spans="1:6">
      <c r="A19" s="1295" t="s">
        <v>9</v>
      </c>
      <c r="B19" s="335">
        <v>374</v>
      </c>
    </row>
    <row r="20" spans="1:6">
      <c r="A20" s="1295" t="s">
        <v>10</v>
      </c>
      <c r="B20" s="335">
        <v>411</v>
      </c>
    </row>
    <row r="21" spans="1:6">
      <c r="A21" s="1295" t="s">
        <v>11</v>
      </c>
      <c r="B21" s="335">
        <v>2736</v>
      </c>
    </row>
    <row r="22" spans="1:6">
      <c r="A22" s="1295" t="s">
        <v>12</v>
      </c>
      <c r="B22" s="335">
        <v>7731</v>
      </c>
    </row>
    <row r="23" spans="1:6">
      <c r="A23" s="1295" t="s">
        <v>13</v>
      </c>
      <c r="B23" s="335">
        <v>98</v>
      </c>
    </row>
    <row r="24" spans="1:6">
      <c r="A24" s="1295" t="s">
        <v>14</v>
      </c>
      <c r="B24" s="335">
        <v>5</v>
      </c>
    </row>
    <row r="25" spans="1:6">
      <c r="A25" s="1295" t="s">
        <v>15</v>
      </c>
      <c r="B25" s="335">
        <v>680</v>
      </c>
    </row>
    <row r="26" spans="1:6">
      <c r="A26" s="1295" t="s">
        <v>16</v>
      </c>
      <c r="B26" s="335">
        <v>179</v>
      </c>
    </row>
    <row r="27" spans="1:6">
      <c r="A27" s="1295" t="s">
        <v>17</v>
      </c>
      <c r="B27" s="335">
        <v>0</v>
      </c>
    </row>
    <row r="28" spans="1:6" s="341" customFormat="1">
      <c r="A28" s="1296" t="s">
        <v>18</v>
      </c>
      <c r="B28" s="1296">
        <v>88658</v>
      </c>
    </row>
    <row r="29" spans="1:6">
      <c r="A29" s="1296" t="s">
        <v>909</v>
      </c>
      <c r="B29" s="1296">
        <v>102</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7</v>
      </c>
      <c r="D36" s="335">
        <v>28441.880416805801</v>
      </c>
      <c r="E36" s="335">
        <v>22</v>
      </c>
      <c r="F36" s="335">
        <v>94248.225905293599</v>
      </c>
    </row>
    <row r="37" spans="1:6">
      <c r="A37" s="1295" t="s">
        <v>25</v>
      </c>
      <c r="B37" s="1295" t="s">
        <v>28</v>
      </c>
      <c r="C37" s="335">
        <v>0</v>
      </c>
      <c r="D37" s="335">
        <v>0</v>
      </c>
      <c r="E37" s="335">
        <v>0</v>
      </c>
      <c r="F37" s="335">
        <v>0</v>
      </c>
    </row>
    <row r="38" spans="1:6">
      <c r="A38" s="1295" t="s">
        <v>25</v>
      </c>
      <c r="B38" s="1295" t="s">
        <v>29</v>
      </c>
      <c r="C38" s="335">
        <v>2</v>
      </c>
      <c r="D38" s="335">
        <v>38627.527213918402</v>
      </c>
      <c r="E38" s="335">
        <v>0</v>
      </c>
      <c r="F38" s="335">
        <v>0</v>
      </c>
    </row>
    <row r="39" spans="1:6">
      <c r="A39" s="1295" t="s">
        <v>30</v>
      </c>
      <c r="B39" s="1295" t="s">
        <v>31</v>
      </c>
      <c r="C39" s="335">
        <v>12070</v>
      </c>
      <c r="D39" s="335">
        <v>191369441.57418901</v>
      </c>
      <c r="E39" s="335">
        <v>14078</v>
      </c>
      <c r="F39" s="335">
        <v>46564002.460240297</v>
      </c>
    </row>
    <row r="40" spans="1:6">
      <c r="A40" s="1295" t="s">
        <v>30</v>
      </c>
      <c r="B40" s="1295" t="s">
        <v>29</v>
      </c>
      <c r="C40" s="335">
        <v>0</v>
      </c>
      <c r="D40" s="335">
        <v>0</v>
      </c>
      <c r="E40" s="335">
        <v>0</v>
      </c>
      <c r="F40" s="335">
        <v>0</v>
      </c>
    </row>
    <row r="41" spans="1:6">
      <c r="A41" s="1295" t="s">
        <v>32</v>
      </c>
      <c r="B41" s="1295" t="s">
        <v>33</v>
      </c>
      <c r="C41" s="335">
        <v>120</v>
      </c>
      <c r="D41" s="335">
        <v>2989173.3158563799</v>
      </c>
      <c r="E41" s="335">
        <v>276</v>
      </c>
      <c r="F41" s="335">
        <v>9112081.7216905802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345420.776364655</v>
      </c>
      <c r="E44" s="335">
        <v>32</v>
      </c>
      <c r="F44" s="335">
        <v>515115.29380364699</v>
      </c>
    </row>
    <row r="45" spans="1:6">
      <c r="A45" s="1295" t="s">
        <v>32</v>
      </c>
      <c r="B45" s="1295" t="s">
        <v>37</v>
      </c>
      <c r="C45" s="335">
        <v>0</v>
      </c>
      <c r="D45" s="335">
        <v>0</v>
      </c>
      <c r="E45" s="335">
        <v>3</v>
      </c>
      <c r="F45" s="335">
        <v>482305.12945495598</v>
      </c>
    </row>
    <row r="46" spans="1:6">
      <c r="A46" s="1295" t="s">
        <v>32</v>
      </c>
      <c r="B46" s="1295" t="s">
        <v>38</v>
      </c>
      <c r="C46" s="335">
        <v>0</v>
      </c>
      <c r="D46" s="335">
        <v>0</v>
      </c>
      <c r="E46" s="335">
        <v>0</v>
      </c>
      <c r="F46" s="335">
        <v>0</v>
      </c>
    </row>
    <row r="47" spans="1:6">
      <c r="A47" s="1295" t="s">
        <v>32</v>
      </c>
      <c r="B47" s="1295" t="s">
        <v>39</v>
      </c>
      <c r="C47" s="335">
        <v>4</v>
      </c>
      <c r="D47" s="335">
        <v>125589.24276182899</v>
      </c>
      <c r="E47" s="335">
        <v>7</v>
      </c>
      <c r="F47" s="335">
        <v>69614.266600529198</v>
      </c>
    </row>
    <row r="48" spans="1:6">
      <c r="A48" s="1295" t="s">
        <v>32</v>
      </c>
      <c r="B48" s="1295" t="s">
        <v>29</v>
      </c>
      <c r="C48" s="335">
        <v>58</v>
      </c>
      <c r="D48" s="335">
        <v>51276377.800550804</v>
      </c>
      <c r="E48" s="335">
        <v>59</v>
      </c>
      <c r="F48" s="335">
        <v>24816223.9517253</v>
      </c>
    </row>
    <row r="49" spans="1:6">
      <c r="A49" s="1295" t="s">
        <v>32</v>
      </c>
      <c r="B49" s="1295" t="s">
        <v>40</v>
      </c>
      <c r="C49" s="335">
        <v>4</v>
      </c>
      <c r="D49" s="335">
        <v>720431.86217825895</v>
      </c>
      <c r="E49" s="335">
        <v>14</v>
      </c>
      <c r="F49" s="335">
        <v>1492249.3541750701</v>
      </c>
    </row>
    <row r="50" spans="1:6">
      <c r="A50" s="1295" t="s">
        <v>32</v>
      </c>
      <c r="B50" s="1295" t="s">
        <v>41</v>
      </c>
      <c r="C50" s="335">
        <v>28</v>
      </c>
      <c r="D50" s="335">
        <v>1502291.0420804999</v>
      </c>
      <c r="E50" s="335">
        <v>128</v>
      </c>
      <c r="F50" s="335">
        <v>4574496.3126044804</v>
      </c>
    </row>
    <row r="51" spans="1:6">
      <c r="A51" s="1295" t="s">
        <v>42</v>
      </c>
      <c r="B51" s="1295" t="s">
        <v>43</v>
      </c>
      <c r="C51" s="335">
        <v>7</v>
      </c>
      <c r="D51" s="335">
        <v>148242.76435481399</v>
      </c>
      <c r="E51" s="335">
        <v>68</v>
      </c>
      <c r="F51" s="335">
        <v>895862.81758340099</v>
      </c>
    </row>
    <row r="52" spans="1:6">
      <c r="A52" s="1295" t="s">
        <v>42</v>
      </c>
      <c r="B52" s="1295" t="s">
        <v>29</v>
      </c>
      <c r="C52" s="335">
        <v>8</v>
      </c>
      <c r="D52" s="335">
        <v>336756.63636421802</v>
      </c>
      <c r="E52" s="335">
        <v>8</v>
      </c>
      <c r="F52" s="335">
        <v>175206.120446488</v>
      </c>
    </row>
    <row r="53" spans="1:6">
      <c r="A53" s="1295" t="s">
        <v>44</v>
      </c>
      <c r="B53" s="1295" t="s">
        <v>45</v>
      </c>
      <c r="C53" s="335">
        <v>326</v>
      </c>
      <c r="D53" s="335">
        <v>6122122.9381097201</v>
      </c>
      <c r="E53" s="335">
        <v>439</v>
      </c>
      <c r="F53" s="335">
        <v>1617084.3863480799</v>
      </c>
    </row>
    <row r="54" spans="1:6">
      <c r="A54" s="1295" t="s">
        <v>46</v>
      </c>
      <c r="B54" s="1295" t="s">
        <v>47</v>
      </c>
      <c r="C54" s="335">
        <v>0</v>
      </c>
      <c r="D54" s="335">
        <v>0</v>
      </c>
      <c r="E54" s="335">
        <v>1</v>
      </c>
      <c r="F54" s="335">
        <v>2598282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116</v>
      </c>
      <c r="D57" s="335">
        <v>3594521.3956616698</v>
      </c>
      <c r="E57" s="335">
        <v>190</v>
      </c>
      <c r="F57" s="335">
        <v>5337377.9499466904</v>
      </c>
    </row>
    <row r="58" spans="1:6">
      <c r="A58" s="1295" t="s">
        <v>49</v>
      </c>
      <c r="B58" s="1295" t="s">
        <v>51</v>
      </c>
      <c r="C58" s="335">
        <v>132</v>
      </c>
      <c r="D58" s="335">
        <v>16157034.8204909</v>
      </c>
      <c r="E58" s="335">
        <v>156</v>
      </c>
      <c r="F58" s="335">
        <v>6449883.7044855496</v>
      </c>
    </row>
    <row r="59" spans="1:6">
      <c r="A59" s="1295" t="s">
        <v>49</v>
      </c>
      <c r="B59" s="1295" t="s">
        <v>52</v>
      </c>
      <c r="C59" s="335">
        <v>357</v>
      </c>
      <c r="D59" s="335">
        <v>15114142.9733075</v>
      </c>
      <c r="E59" s="335">
        <v>585</v>
      </c>
      <c r="F59" s="335">
        <v>17491579.874587499</v>
      </c>
    </row>
    <row r="60" spans="1:6">
      <c r="A60" s="1295" t="s">
        <v>49</v>
      </c>
      <c r="B60" s="1295" t="s">
        <v>53</v>
      </c>
      <c r="C60" s="335">
        <v>141</v>
      </c>
      <c r="D60" s="335">
        <v>5297743.4308937397</v>
      </c>
      <c r="E60" s="335">
        <v>177</v>
      </c>
      <c r="F60" s="335">
        <v>3266819.5592175801</v>
      </c>
    </row>
    <row r="61" spans="1:6">
      <c r="A61" s="1295" t="s">
        <v>49</v>
      </c>
      <c r="B61" s="1295" t="s">
        <v>54</v>
      </c>
      <c r="C61" s="335">
        <v>313</v>
      </c>
      <c r="D61" s="335">
        <v>17102418.766194701</v>
      </c>
      <c r="E61" s="335">
        <v>486</v>
      </c>
      <c r="F61" s="335">
        <v>12474497.3154146</v>
      </c>
    </row>
    <row r="62" spans="1:6">
      <c r="A62" s="1295" t="s">
        <v>49</v>
      </c>
      <c r="B62" s="1295" t="s">
        <v>55</v>
      </c>
      <c r="C62" s="335">
        <v>26</v>
      </c>
      <c r="D62" s="335">
        <v>4021460.0874711098</v>
      </c>
      <c r="E62" s="335">
        <v>30</v>
      </c>
      <c r="F62" s="335">
        <v>1102888.12702772</v>
      </c>
    </row>
    <row r="63" spans="1:6">
      <c r="A63" s="1295" t="s">
        <v>49</v>
      </c>
      <c r="B63" s="1295" t="s">
        <v>29</v>
      </c>
      <c r="C63" s="335">
        <v>103</v>
      </c>
      <c r="D63" s="335">
        <v>9207109.8662084006</v>
      </c>
      <c r="E63" s="335">
        <v>68</v>
      </c>
      <c r="F63" s="335">
        <v>20610461.055955999</v>
      </c>
    </row>
    <row r="64" spans="1:6">
      <c r="A64" s="1295" t="s">
        <v>56</v>
      </c>
      <c r="B64" s="1295" t="s">
        <v>57</v>
      </c>
      <c r="C64" s="335">
        <v>0</v>
      </c>
      <c r="D64" s="335">
        <v>0</v>
      </c>
      <c r="E64" s="335">
        <v>0</v>
      </c>
      <c r="F64" s="335">
        <v>0</v>
      </c>
    </row>
    <row r="65" spans="1:6">
      <c r="A65" s="1295" t="s">
        <v>56</v>
      </c>
      <c r="B65" s="1295" t="s">
        <v>29</v>
      </c>
      <c r="C65" s="335">
        <v>0</v>
      </c>
      <c r="D65" s="335">
        <v>0</v>
      </c>
      <c r="E65" s="335">
        <v>2</v>
      </c>
      <c r="F65" s="335">
        <v>24065.8904655402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16</v>
      </c>
      <c r="D68" s="335">
        <v>710651.09029629605</v>
      </c>
      <c r="E68" s="335">
        <v>42</v>
      </c>
      <c r="F68" s="335">
        <v>1232240.84250001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82314922</v>
      </c>
      <c r="E73" s="335">
        <v>93354821.22715503</v>
      </c>
    </row>
    <row r="74" spans="1:6">
      <c r="A74" s="1295" t="s">
        <v>64</v>
      </c>
      <c r="B74" s="1295" t="s">
        <v>727</v>
      </c>
      <c r="C74" s="1295" t="s">
        <v>728</v>
      </c>
      <c r="D74" s="335">
        <v>6104402.8571647983</v>
      </c>
      <c r="E74" s="335">
        <v>7122219.0609698892</v>
      </c>
    </row>
    <row r="75" spans="1:6">
      <c r="A75" s="1295" t="s">
        <v>65</v>
      </c>
      <c r="B75" s="1295" t="s">
        <v>725</v>
      </c>
      <c r="C75" s="1295" t="s">
        <v>729</v>
      </c>
      <c r="D75" s="335">
        <v>26428804</v>
      </c>
      <c r="E75" s="335">
        <v>30080283.85625685</v>
      </c>
    </row>
    <row r="76" spans="1:6">
      <c r="A76" s="1295" t="s">
        <v>65</v>
      </c>
      <c r="B76" s="1295" t="s">
        <v>727</v>
      </c>
      <c r="C76" s="1295" t="s">
        <v>730</v>
      </c>
      <c r="D76" s="335">
        <v>906431.85716479865</v>
      </c>
      <c r="E76" s="335">
        <v>1089101.6705230277</v>
      </c>
    </row>
    <row r="77" spans="1:6">
      <c r="A77" s="1295" t="s">
        <v>66</v>
      </c>
      <c r="B77" s="1295" t="s">
        <v>725</v>
      </c>
      <c r="C77" s="1295" t="s">
        <v>731</v>
      </c>
      <c r="D77" s="335">
        <v>77301699</v>
      </c>
      <c r="E77" s="335">
        <v>84638890.109517947</v>
      </c>
    </row>
    <row r="78" spans="1:6">
      <c r="A78" s="1291" t="s">
        <v>66</v>
      </c>
      <c r="B78" s="1291" t="s">
        <v>727</v>
      </c>
      <c r="C78" s="1291" t="s">
        <v>732</v>
      </c>
      <c r="D78" s="1291">
        <v>16193433</v>
      </c>
      <c r="E78" s="1291">
        <v>17284873.574308287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611644.28567040269</v>
      </c>
      <c r="C83" s="335">
        <v>615293.36382031394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8464.710943</v>
      </c>
    </row>
    <row r="91" spans="1:6">
      <c r="A91" s="1295" t="s">
        <v>68</v>
      </c>
      <c r="B91" s="335">
        <v>3982.3139999999999</v>
      </c>
    </row>
    <row r="92" spans="1:6">
      <c r="A92" s="1291" t="s">
        <v>69</v>
      </c>
      <c r="B92" s="338">
        <v>6824.067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9352</v>
      </c>
    </row>
    <row r="98" spans="1:6">
      <c r="A98" s="1295" t="s">
        <v>72</v>
      </c>
      <c r="B98" s="335">
        <v>4</v>
      </c>
    </row>
    <row r="99" spans="1:6">
      <c r="A99" s="1295" t="s">
        <v>73</v>
      </c>
      <c r="B99" s="335">
        <v>84</v>
      </c>
    </row>
    <row r="100" spans="1:6">
      <c r="A100" s="1295" t="s">
        <v>74</v>
      </c>
      <c r="B100" s="335">
        <v>634</v>
      </c>
    </row>
    <row r="101" spans="1:6">
      <c r="A101" s="1295" t="s">
        <v>75</v>
      </c>
      <c r="B101" s="335">
        <v>133</v>
      </c>
    </row>
    <row r="102" spans="1:6">
      <c r="A102" s="1295" t="s">
        <v>76</v>
      </c>
      <c r="B102" s="335">
        <v>247</v>
      </c>
    </row>
    <row r="103" spans="1:6">
      <c r="A103" s="1295" t="s">
        <v>77</v>
      </c>
      <c r="B103" s="335">
        <v>504</v>
      </c>
    </row>
    <row r="104" spans="1:6">
      <c r="A104" s="1295" t="s">
        <v>78</v>
      </c>
      <c r="B104" s="335">
        <v>2008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15</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140</v>
      </c>
    </row>
    <row r="130" spans="1:6">
      <c r="A130" s="1295" t="s">
        <v>295</v>
      </c>
      <c r="B130" s="335">
        <v>3</v>
      </c>
    </row>
    <row r="131" spans="1:6">
      <c r="A131" s="1295" t="s">
        <v>296</v>
      </c>
      <c r="B131" s="335">
        <v>2</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163638.5042156475</v>
      </c>
      <c r="C3" s="43" t="s">
        <v>170</v>
      </c>
      <c r="D3" s="43"/>
      <c r="E3" s="156"/>
      <c r="F3" s="43"/>
      <c r="G3" s="43"/>
      <c r="H3" s="43"/>
      <c r="I3" s="43"/>
      <c r="J3" s="43"/>
      <c r="K3" s="96"/>
    </row>
    <row r="4" spans="1:11">
      <c r="A4" s="366" t="s">
        <v>171</v>
      </c>
      <c r="B4" s="49">
        <f>IF(ISERROR('SEAP template'!B78+'SEAP template'!C78),0,'SEAP template'!B78+'SEAP template'!C78)</f>
        <v>19271.091942999999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0.19497366017358309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2598.2820000000002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2598.2820000000002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0.19497366017358309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506.59655170313783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46564.002460240299</v>
      </c>
      <c r="C5" s="17">
        <f>IF(ISERROR('Eigen informatie GS &amp; warmtenet'!B57),0,'Eigen informatie GS &amp; warmtenet'!B57)</f>
        <v>0</v>
      </c>
      <c r="D5" s="30">
        <f>(SUM(HH_hh_gas_kWh,HH_rest_gas_kWh)/1000)*0.902</f>
        <v>172615.23629991847</v>
      </c>
      <c r="E5" s="17">
        <f>B46*B57</f>
        <v>3504.4364397717595</v>
      </c>
      <c r="F5" s="17">
        <f>B51*B62</f>
        <v>0</v>
      </c>
      <c r="G5" s="18"/>
      <c r="H5" s="17"/>
      <c r="I5" s="17"/>
      <c r="J5" s="17">
        <f>B50*B61+C50*C61</f>
        <v>9446.6099102748594</v>
      </c>
      <c r="K5" s="17"/>
      <c r="L5" s="17"/>
      <c r="M5" s="17"/>
      <c r="N5" s="17">
        <f>B48*B59+C48*C59</f>
        <v>20801.639685725557</v>
      </c>
      <c r="O5" s="17">
        <f>B69*B70*B71</f>
        <v>245.44333333333333</v>
      </c>
      <c r="P5" s="17">
        <f>B77*B78*B79/1000-B77*B78*B79/1000/B80</f>
        <v>286</v>
      </c>
    </row>
    <row r="6" spans="1:16">
      <c r="A6" s="16" t="s">
        <v>634</v>
      </c>
      <c r="B6" s="783">
        <f>kWh_PV_kleiner_dan_10kW</f>
        <v>3982.3139999999999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50546.316460240298</v>
      </c>
      <c r="C8" s="21">
        <f>C5</f>
        <v>0</v>
      </c>
      <c r="D8" s="21">
        <f>D5</f>
        <v>172615.23629991847</v>
      </c>
      <c r="E8" s="21">
        <f>E5</f>
        <v>3504.4364397717595</v>
      </c>
      <c r="F8" s="21">
        <f>F5</f>
        <v>0</v>
      </c>
      <c r="G8" s="21"/>
      <c r="H8" s="21"/>
      <c r="I8" s="21"/>
      <c r="J8" s="21">
        <f>J5</f>
        <v>9446.6099102748594</v>
      </c>
      <c r="K8" s="21"/>
      <c r="L8" s="21">
        <f>L5</f>
        <v>0</v>
      </c>
      <c r="M8" s="21">
        <f>M5</f>
        <v>0</v>
      </c>
      <c r="N8" s="21">
        <f>N5</f>
        <v>20801.639685725557</v>
      </c>
      <c r="O8" s="21">
        <f>O5</f>
        <v>245.44333333333333</v>
      </c>
      <c r="P8" s="21">
        <f>P5</f>
        <v>286</v>
      </c>
    </row>
    <row r="9" spans="1:16">
      <c r="B9" s="19"/>
      <c r="C9" s="19"/>
      <c r="D9" s="261"/>
      <c r="E9" s="19"/>
      <c r="F9" s="19"/>
      <c r="G9" s="19"/>
      <c r="H9" s="19"/>
      <c r="I9" s="19"/>
      <c r="J9" s="19"/>
      <c r="K9" s="19"/>
      <c r="L9" s="19"/>
      <c r="M9" s="19"/>
      <c r="N9" s="19"/>
      <c r="O9" s="19"/>
      <c r="P9" s="19"/>
    </row>
    <row r="10" spans="1:16">
      <c r="A10" s="24" t="s">
        <v>214</v>
      </c>
      <c r="B10" s="25">
        <f ca="1">'EF ele_warmte'!B12</f>
        <v>0.19497366017358309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9855.2003285452811</v>
      </c>
      <c r="C12" s="23">
        <f ca="1">C10*C8</f>
        <v>0</v>
      </c>
      <c r="D12" s="23">
        <f>D8*D10</f>
        <v>34868.277732583534</v>
      </c>
      <c r="E12" s="23">
        <f>E10*E8</f>
        <v>795.5070718281894</v>
      </c>
      <c r="F12" s="23">
        <f>F10*F8</f>
        <v>0</v>
      </c>
      <c r="G12" s="23"/>
      <c r="H12" s="23"/>
      <c r="I12" s="23"/>
      <c r="J12" s="23">
        <f>J10*J8</f>
        <v>3344.0999082373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9352</v>
      </c>
      <c r="C18" s="168" t="s">
        <v>111</v>
      </c>
      <c r="D18" s="230"/>
      <c r="E18" s="15"/>
    </row>
    <row r="19" spans="1:7">
      <c r="A19" s="173" t="s">
        <v>72</v>
      </c>
      <c r="B19" s="37">
        <f>aantalw2001_ander</f>
        <v>4</v>
      </c>
      <c r="C19" s="168" t="s">
        <v>111</v>
      </c>
      <c r="D19" s="231"/>
      <c r="E19" s="15"/>
    </row>
    <row r="20" spans="1:7">
      <c r="A20" s="173" t="s">
        <v>73</v>
      </c>
      <c r="B20" s="37">
        <f>aantalw2001_propaan</f>
        <v>84</v>
      </c>
      <c r="C20" s="169">
        <f>IF(ISERROR(B20/SUM($B$20,$B$21,$B$22)*100),0,B20/SUM($B$20,$B$21,$B$22)*100)</f>
        <v>9.8707403055229133</v>
      </c>
      <c r="D20" s="231"/>
      <c r="E20" s="15"/>
    </row>
    <row r="21" spans="1:7">
      <c r="A21" s="173" t="s">
        <v>74</v>
      </c>
      <c r="B21" s="37">
        <f>aantalw2001_elektriciteit</f>
        <v>634</v>
      </c>
      <c r="C21" s="169">
        <f>IF(ISERROR(B21/SUM($B$20,$B$21,$B$22)*100),0,B21/SUM($B$20,$B$21,$B$22)*100)</f>
        <v>74.500587544065795</v>
      </c>
      <c r="D21" s="231"/>
      <c r="E21" s="15"/>
    </row>
    <row r="22" spans="1:7">
      <c r="A22" s="173" t="s">
        <v>75</v>
      </c>
      <c r="B22" s="37">
        <f>aantalw2001_hout</f>
        <v>133</v>
      </c>
      <c r="C22" s="169">
        <f>IF(ISERROR(B22/SUM($B$20,$B$21,$B$22)*100),0,B22/SUM($B$20,$B$21,$B$22)*100)</f>
        <v>15.62867215041128</v>
      </c>
      <c r="D22" s="231"/>
      <c r="E22" s="15"/>
    </row>
    <row r="23" spans="1:7">
      <c r="A23" s="173" t="s">
        <v>76</v>
      </c>
      <c r="B23" s="37">
        <f>aantalw2001_niet_gespec</f>
        <v>247</v>
      </c>
      <c r="C23" s="168" t="s">
        <v>111</v>
      </c>
      <c r="D23" s="230"/>
      <c r="E23" s="15"/>
    </row>
    <row r="24" spans="1:7">
      <c r="A24" s="173" t="s">
        <v>77</v>
      </c>
      <c r="B24" s="37">
        <f>aantalw2001_steenkool</f>
        <v>504</v>
      </c>
      <c r="C24" s="168" t="s">
        <v>111</v>
      </c>
      <c r="D24" s="231"/>
      <c r="E24" s="15"/>
    </row>
    <row r="25" spans="1:7">
      <c r="A25" s="173" t="s">
        <v>78</v>
      </c>
      <c r="B25" s="37">
        <f>aantalw2001_stookolie</f>
        <v>2008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14021</v>
      </c>
      <c r="C28" s="36"/>
      <c r="D28" s="230"/>
    </row>
    <row r="29" spans="1:7" s="15" customFormat="1">
      <c r="A29" s="232" t="s">
        <v>746</v>
      </c>
      <c r="B29" s="37">
        <f>SUM(HH_hh_gas_aantal,HH_rest_gas_aantal)</f>
        <v>12070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12070</v>
      </c>
      <c r="C32" s="169">
        <f>IF(ISERROR(B32/SUM($B$32,$B$34,$B$35,$B$36,$B$38,$B$39)*100),0,B32/SUM($B$32,$B$34,$B$35,$B$36,$B$38,$B$39)*100)</f>
        <v>86.177352563187199</v>
      </c>
      <c r="D32" s="235"/>
      <c r="G32" s="15"/>
    </row>
    <row r="33" spans="1:7">
      <c r="A33" s="173" t="s">
        <v>72</v>
      </c>
      <c r="B33" s="34" t="s">
        <v>111</v>
      </c>
      <c r="C33" s="169"/>
      <c r="D33" s="235"/>
      <c r="G33" s="15"/>
    </row>
    <row r="34" spans="1:7">
      <c r="A34" s="173" t="s">
        <v>73</v>
      </c>
      <c r="B34" s="33">
        <f>IF((($B$28-$B$32-$B$39-$B$77-$B$38)*C20/100)&lt;0,0,($B$28-$B$32-$B$39-$B$77-$B$38)*C20/100)</f>
        <v>168.17767332549937</v>
      </c>
      <c r="C34" s="169">
        <f>IF(ISERROR(B34/SUM($B$32,$B$34,$B$35,$B$36,$B$38,$B$39)*100),0,B34/SUM($B$32,$B$34,$B$35,$B$36,$B$38,$B$39)*100)</f>
        <v>1.2007544861166597</v>
      </c>
      <c r="D34" s="235"/>
      <c r="G34" s="15"/>
    </row>
    <row r="35" spans="1:7">
      <c r="A35" s="173" t="s">
        <v>74</v>
      </c>
      <c r="B35" s="33">
        <f>IF((($B$28-$B$32-$B$39-$B$77-$B$38)*C21/100)&lt;0,0,($B$28-$B$32-$B$39-$B$77-$B$38)*C21/100)</f>
        <v>1269.341010575793</v>
      </c>
      <c r="C35" s="169">
        <f>IF(ISERROR(B35/SUM($B$32,$B$34,$B$35,$B$36,$B$38,$B$39)*100),0,B35/SUM($B$32,$B$34,$B$35,$B$36,$B$38,$B$39)*100)</f>
        <v>9.0628374309281217</v>
      </c>
      <c r="D35" s="235"/>
      <c r="G35" s="15"/>
    </row>
    <row r="36" spans="1:7">
      <c r="A36" s="173" t="s">
        <v>75</v>
      </c>
      <c r="B36" s="33">
        <f>IF((($B$28-$B$32-$B$39-$B$77-$B$38)*C22/100)&lt;0,0,($B$28-$B$32-$B$39-$B$77-$B$38)*C22/100)</f>
        <v>266.28131609870741</v>
      </c>
      <c r="C36" s="169">
        <f>IF(ISERROR(B36/SUM($B$32,$B$34,$B$35,$B$36,$B$38,$B$39)*100),0,B36/SUM($B$32,$B$34,$B$35,$B$36,$B$38,$B$39)*100)</f>
        <v>1.9011946030180451</v>
      </c>
      <c r="D36" s="235"/>
      <c r="G36" s="15"/>
    </row>
    <row r="37" spans="1:7">
      <c r="A37" s="173" t="s">
        <v>76</v>
      </c>
      <c r="B37" s="34" t="s">
        <v>111</v>
      </c>
      <c r="C37" s="169"/>
      <c r="D37" s="175"/>
      <c r="G37" s="15"/>
    </row>
    <row r="38" spans="1:7">
      <c r="A38" s="173" t="s">
        <v>77</v>
      </c>
      <c r="B38" s="33">
        <f>IF((B24-(B29-B18)*0.1)&lt;0,0,B24-(B29-B18)*0.1)</f>
        <v>232.2</v>
      </c>
      <c r="C38" s="169">
        <f>IF(ISERROR(B38/SUM($B$32,$B$34,$B$35,$B$36,$B$38,$B$39)*100),0,B38/SUM($B$32,$B$34,$B$35,$B$36,$B$38,$B$39)*100)</f>
        <v>1.6578609167499641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12070</v>
      </c>
      <c r="C44" s="34" t="s">
        <v>111</v>
      </c>
      <c r="D44" s="176"/>
    </row>
    <row r="45" spans="1:7">
      <c r="A45" s="173" t="s">
        <v>72</v>
      </c>
      <c r="B45" s="33" t="str">
        <f t="shared" si="0"/>
        <v>-</v>
      </c>
      <c r="C45" s="34" t="s">
        <v>111</v>
      </c>
      <c r="D45" s="176"/>
    </row>
    <row r="46" spans="1:7">
      <c r="A46" s="173" t="s">
        <v>73</v>
      </c>
      <c r="B46" s="33">
        <f t="shared" si="0"/>
        <v>168.17767332549937</v>
      </c>
      <c r="C46" s="34" t="s">
        <v>111</v>
      </c>
      <c r="D46" s="176"/>
    </row>
    <row r="47" spans="1:7">
      <c r="A47" s="173" t="s">
        <v>74</v>
      </c>
      <c r="B47" s="33">
        <f t="shared" si="0"/>
        <v>1269.341010575793</v>
      </c>
      <c r="C47" s="34" t="s">
        <v>111</v>
      </c>
      <c r="D47" s="176"/>
    </row>
    <row r="48" spans="1:7">
      <c r="A48" s="173" t="s">
        <v>75</v>
      </c>
      <c r="B48" s="33">
        <f t="shared" si="0"/>
        <v>266.28131609870741</v>
      </c>
      <c r="C48" s="33">
        <f>B48*10</f>
        <v>2662.8131609870743</v>
      </c>
      <c r="D48" s="236"/>
    </row>
    <row r="49" spans="1:6">
      <c r="A49" s="173" t="s">
        <v>76</v>
      </c>
      <c r="B49" s="33" t="str">
        <f t="shared" si="0"/>
        <v>-</v>
      </c>
      <c r="C49" s="34" t="s">
        <v>111</v>
      </c>
      <c r="D49" s="236"/>
    </row>
    <row r="50" spans="1:6">
      <c r="A50" s="173" t="s">
        <v>77</v>
      </c>
      <c r="B50" s="33">
        <f t="shared" si="0"/>
        <v>232.2</v>
      </c>
      <c r="C50" s="33">
        <f>B50*2</f>
        <v>464.4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66733.507586635635</v>
      </c>
      <c r="C5" s="17">
        <f>IF(ISERROR('Eigen informatie GS &amp; warmtenet'!B58),0,'Eigen informatie GS &amp; warmtenet'!B58)</f>
        <v>0</v>
      </c>
      <c r="D5" s="30">
        <f>SUM(D6:D12)</f>
        <v>63585.977068885681</v>
      </c>
      <c r="E5" s="17">
        <f>SUM(E6:E12)</f>
        <v>767.05354812470944</v>
      </c>
      <c r="F5" s="17">
        <f>SUM(F6:F12)</f>
        <v>12995.705245228077</v>
      </c>
      <c r="G5" s="18"/>
      <c r="H5" s="17"/>
      <c r="I5" s="17"/>
      <c r="J5" s="17">
        <f>SUM(J6:J12)</f>
        <v>0</v>
      </c>
      <c r="K5" s="17"/>
      <c r="L5" s="17"/>
      <c r="M5" s="17"/>
      <c r="N5" s="17">
        <f>SUM(N6:N12)</f>
        <v>5477.8122019222719</v>
      </c>
      <c r="O5" s="17">
        <f>B38*B39*B40</f>
        <v>4.6900000000000004</v>
      </c>
      <c r="P5" s="17">
        <f>B46*B47*B48/1000-B46*B47*B48/1000/B49</f>
        <v>38.133333333333333</v>
      </c>
      <c r="R5" s="32"/>
    </row>
    <row r="6" spans="1:18">
      <c r="A6" s="32" t="s">
        <v>54</v>
      </c>
      <c r="B6" s="37">
        <f>B26</f>
        <v>12474.497315414601</v>
      </c>
      <c r="C6" s="33"/>
      <c r="D6" s="37">
        <f>IF(ISERROR(TER_kantoor_gas_kWh/1000),0,TER_kantoor_gas_kWh/1000)*0.902</f>
        <v>15426.38172710762</v>
      </c>
      <c r="E6" s="33">
        <f>$C$26*'E Balans VL '!I12/100/3.6*1000000</f>
        <v>48.46606307534514</v>
      </c>
      <c r="F6" s="33">
        <f>$C$26*('E Balans VL '!L12+'E Balans VL '!N12)/100/3.6*1000000</f>
        <v>1897.2575327987036</v>
      </c>
      <c r="G6" s="34"/>
      <c r="H6" s="33"/>
      <c r="I6" s="33"/>
      <c r="J6" s="33">
        <f>$C$26*('E Balans VL '!D12+'E Balans VL '!E12)/100/3.6*1000000</f>
        <v>0</v>
      </c>
      <c r="K6" s="33"/>
      <c r="L6" s="33"/>
      <c r="M6" s="33"/>
      <c r="N6" s="33">
        <f>$C$26*'E Balans VL '!Y12/100/3.6*1000000</f>
        <v>6.8749424287691321</v>
      </c>
      <c r="O6" s="33"/>
      <c r="P6" s="33"/>
      <c r="R6" s="32"/>
    </row>
    <row r="7" spans="1:18">
      <c r="A7" s="32" t="s">
        <v>53</v>
      </c>
      <c r="B7" s="37">
        <f t="shared" ref="B7:B12" si="0">B27</f>
        <v>3266.8195592175803</v>
      </c>
      <c r="C7" s="33"/>
      <c r="D7" s="37">
        <f>IF(ISERROR(TER_horeca_gas_kWh/1000),0,TER_horeca_gas_kWh/1000)*0.902</f>
        <v>4778.5645746661539</v>
      </c>
      <c r="E7" s="33">
        <f>$C$27*'E Balans VL '!I9/100/3.6*1000000</f>
        <v>184.02081917356884</v>
      </c>
      <c r="F7" s="33">
        <f>$C$27*('E Balans VL '!L9+'E Balans VL '!N9)/100/3.6*1000000</f>
        <v>941.95518038391947</v>
      </c>
      <c r="G7" s="34"/>
      <c r="H7" s="33"/>
      <c r="I7" s="33"/>
      <c r="J7" s="33">
        <f>$C$27*('E Balans VL '!D9+'E Balans VL '!E9)/100/3.6*1000000</f>
        <v>0</v>
      </c>
      <c r="K7" s="33"/>
      <c r="L7" s="33"/>
      <c r="M7" s="33"/>
      <c r="N7" s="33">
        <f>$C$27*'E Balans VL '!Y9/100/3.6*1000000</f>
        <v>0.90195190430832528</v>
      </c>
      <c r="O7" s="33"/>
      <c r="P7" s="33"/>
      <c r="R7" s="32"/>
    </row>
    <row r="8" spans="1:18">
      <c r="A8" s="6" t="s">
        <v>52</v>
      </c>
      <c r="B8" s="37">
        <f t="shared" si="0"/>
        <v>17491.5798745875</v>
      </c>
      <c r="C8" s="33"/>
      <c r="D8" s="37">
        <f>IF(ISERROR(TER_handel_gas_kWh/1000),0,TER_handel_gas_kWh/1000)*0.902</f>
        <v>13632.956961923366</v>
      </c>
      <c r="E8" s="33">
        <f>$C$28*'E Balans VL '!I13/100/3.6*1000000</f>
        <v>252.11300902013261</v>
      </c>
      <c r="F8" s="33">
        <f>$C$28*('E Balans VL '!L13+'E Balans VL '!N13)/100/3.6*1000000</f>
        <v>3038.6947756235227</v>
      </c>
      <c r="G8" s="34"/>
      <c r="H8" s="33"/>
      <c r="I8" s="33"/>
      <c r="J8" s="33">
        <f>$C$28*('E Balans VL '!D13+'E Balans VL '!E13)/100/3.6*1000000</f>
        <v>0</v>
      </c>
      <c r="K8" s="33"/>
      <c r="L8" s="33"/>
      <c r="M8" s="33"/>
      <c r="N8" s="33">
        <f>$C$28*'E Balans VL '!Y13/100/3.6*1000000</f>
        <v>52.406720507048469</v>
      </c>
      <c r="O8" s="33"/>
      <c r="P8" s="33"/>
      <c r="R8" s="32"/>
    </row>
    <row r="9" spans="1:18">
      <c r="A9" s="32" t="s">
        <v>51</v>
      </c>
      <c r="B9" s="37">
        <f t="shared" si="0"/>
        <v>6449.88370448555</v>
      </c>
      <c r="C9" s="33"/>
      <c r="D9" s="37">
        <f>IF(ISERROR(TER_gezond_gas_kWh/1000),0,TER_gezond_gas_kWh/1000)*0.902</f>
        <v>14573.645408082793</v>
      </c>
      <c r="E9" s="33">
        <f>$C$29*'E Balans VL '!I10/100/3.6*1000000</f>
        <v>6.890147544853753</v>
      </c>
      <c r="F9" s="33">
        <f>$C$29*('E Balans VL '!L10+'E Balans VL '!N10)/100/3.6*1000000</f>
        <v>1052.1720515230445</v>
      </c>
      <c r="G9" s="34"/>
      <c r="H9" s="33"/>
      <c r="I9" s="33"/>
      <c r="J9" s="33">
        <f>$C$29*('E Balans VL '!D10+'E Balans VL '!E10)/100/3.6*1000000</f>
        <v>0</v>
      </c>
      <c r="K9" s="33"/>
      <c r="L9" s="33"/>
      <c r="M9" s="33"/>
      <c r="N9" s="33">
        <f>$C$29*'E Balans VL '!Y10/100/3.6*1000000</f>
        <v>66.397872507458672</v>
      </c>
      <c r="O9" s="33"/>
      <c r="P9" s="33"/>
      <c r="R9" s="32"/>
    </row>
    <row r="10" spans="1:18">
      <c r="A10" s="32" t="s">
        <v>50</v>
      </c>
      <c r="B10" s="37">
        <f t="shared" si="0"/>
        <v>5337.37794994669</v>
      </c>
      <c r="C10" s="33"/>
      <c r="D10" s="37">
        <f>IF(ISERROR(TER_ander_gas_kWh/1000),0,TER_ander_gas_kWh/1000)*0.902</f>
        <v>3242.2582988868262</v>
      </c>
      <c r="E10" s="33">
        <f>$C$30*'E Balans VL '!I14/100/3.6*1000000</f>
        <v>24.545789316350174</v>
      </c>
      <c r="F10" s="33">
        <f>$C$30*('E Balans VL '!L14+'E Balans VL '!N14)/100/3.6*1000000</f>
        <v>1599.7805276311176</v>
      </c>
      <c r="G10" s="34"/>
      <c r="H10" s="33"/>
      <c r="I10" s="33"/>
      <c r="J10" s="33">
        <f>$C$30*('E Balans VL '!D14+'E Balans VL '!E14)/100/3.6*1000000</f>
        <v>0</v>
      </c>
      <c r="K10" s="33"/>
      <c r="L10" s="33"/>
      <c r="M10" s="33"/>
      <c r="N10" s="33">
        <f>$C$30*'E Balans VL '!Y14/100/3.6*1000000</f>
        <v>3715.1673775841377</v>
      </c>
      <c r="O10" s="33"/>
      <c r="P10" s="33"/>
      <c r="R10" s="32"/>
    </row>
    <row r="11" spans="1:18">
      <c r="A11" s="32" t="s">
        <v>55</v>
      </c>
      <c r="B11" s="37">
        <f t="shared" si="0"/>
        <v>1102.88812702772</v>
      </c>
      <c r="C11" s="33"/>
      <c r="D11" s="37">
        <f>IF(ISERROR(TER_onderwijs_gas_kWh/1000),0,TER_onderwijs_gas_kWh/1000)*0.902</f>
        <v>3627.3569988989411</v>
      </c>
      <c r="E11" s="33">
        <f>$C$31*'E Balans VL '!I11/100/3.6*1000000</f>
        <v>1.0230737772883129</v>
      </c>
      <c r="F11" s="33">
        <f>$C$31*('E Balans VL '!L11+'E Balans VL '!N11)/100/3.6*1000000</f>
        <v>387.41925096366782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20610.461055955999</v>
      </c>
      <c r="C12" s="33"/>
      <c r="D12" s="37">
        <f>IF(ISERROR(TER_rest_gas_kWh/1000),0,TER_rest_gas_kWh/1000)*0.902</f>
        <v>8304.8130993199775</v>
      </c>
      <c r="E12" s="33">
        <f>$C$32*'E Balans VL '!I8/100/3.6*1000000</f>
        <v>249.99464621717061</v>
      </c>
      <c r="F12" s="33">
        <f>$C$32*('E Balans VL '!L8+'E Balans VL '!N8)/100/3.6*1000000</f>
        <v>4078.4259263041004</v>
      </c>
      <c r="G12" s="34"/>
      <c r="H12" s="33"/>
      <c r="I12" s="33"/>
      <c r="J12" s="33">
        <f>$C$32*('E Balans VL '!D8+'E Balans VL '!E8)/100/3.6*1000000</f>
        <v>0</v>
      </c>
      <c r="K12" s="33"/>
      <c r="L12" s="33"/>
      <c r="M12" s="33"/>
      <c r="N12" s="33">
        <f>$C$32*'E Balans VL '!Y8/100/3.6*1000000</f>
        <v>1636.0633369905495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66733.507586635635</v>
      </c>
      <c r="C16" s="21">
        <f t="shared" ca="1" si="1"/>
        <v>0</v>
      </c>
      <c r="D16" s="21">
        <f t="shared" ca="1" si="1"/>
        <v>63585.977068885681</v>
      </c>
      <c r="E16" s="21">
        <f t="shared" si="1"/>
        <v>767.05354812470944</v>
      </c>
      <c r="F16" s="21">
        <f t="shared" ca="1" si="1"/>
        <v>12995.705245228077</v>
      </c>
      <c r="G16" s="21">
        <f t="shared" si="1"/>
        <v>0</v>
      </c>
      <c r="H16" s="21">
        <f t="shared" si="1"/>
        <v>0</v>
      </c>
      <c r="I16" s="21">
        <f t="shared" si="1"/>
        <v>0</v>
      </c>
      <c r="J16" s="21">
        <f t="shared" si="1"/>
        <v>0</v>
      </c>
      <c r="K16" s="21">
        <f t="shared" si="1"/>
        <v>0</v>
      </c>
      <c r="L16" s="21">
        <f t="shared" ca="1" si="1"/>
        <v>0</v>
      </c>
      <c r="M16" s="21">
        <f t="shared" si="1"/>
        <v>0</v>
      </c>
      <c r="N16" s="21">
        <f t="shared" ca="1" si="1"/>
        <v>5477.8122019222719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0.19497366017358309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13011.276230387924</v>
      </c>
      <c r="C20" s="23">
        <f t="shared" ref="C20:P20" ca="1" si="2">C16*C18</f>
        <v>0</v>
      </c>
      <c r="D20" s="23">
        <f t="shared" ca="1" si="2"/>
        <v>12844.367367914909</v>
      </c>
      <c r="E20" s="23">
        <f t="shared" si="2"/>
        <v>174.12115542430905</v>
      </c>
      <c r="F20" s="23">
        <f t="shared" ca="1" si="2"/>
        <v>3469.8533004758965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12474.497315414601</v>
      </c>
      <c r="C26" s="39">
        <f>IF(ISERROR(B26*3.6/1000000/'E Balans VL '!Z12*100),0,B26*3.6/1000000/'E Balans VL '!Z12*100)</f>
        <v>0.26496450204210903</v>
      </c>
      <c r="D26" s="239" t="s">
        <v>692</v>
      </c>
      <c r="F26" s="6"/>
    </row>
    <row r="27" spans="1:18">
      <c r="A27" s="233" t="s">
        <v>53</v>
      </c>
      <c r="B27" s="33">
        <f>IF(ISERROR(TER_horeca_ele_kWh/1000),0,TER_horeca_ele_kWh/1000)</f>
        <v>3266.8195592175803</v>
      </c>
      <c r="C27" s="39">
        <f>IF(ISERROR(B27*3.6/1000000/'E Balans VL '!Z9*100),0,B27*3.6/1000000/'E Balans VL '!Z9*100)</f>
        <v>0.25401511591606069</v>
      </c>
      <c r="D27" s="239" t="s">
        <v>692</v>
      </c>
      <c r="F27" s="6"/>
    </row>
    <row r="28" spans="1:18">
      <c r="A28" s="173" t="s">
        <v>52</v>
      </c>
      <c r="B28" s="33">
        <f>IF(ISERROR(TER_handel_ele_kWh/1000),0,TER_handel_ele_kWh/1000)</f>
        <v>17491.5798745875</v>
      </c>
      <c r="C28" s="39">
        <f>IF(ISERROR(B28*3.6/1000000/'E Balans VL '!Z13*100),0,B28*3.6/1000000/'E Balans VL '!Z13*100)</f>
        <v>0.50045468574218566</v>
      </c>
      <c r="D28" s="239" t="s">
        <v>692</v>
      </c>
      <c r="F28" s="6"/>
    </row>
    <row r="29" spans="1:18">
      <c r="A29" s="233" t="s">
        <v>51</v>
      </c>
      <c r="B29" s="33">
        <f>IF(ISERROR(TER_gezond_ele_kWh/1000),0,TER_gezond_ele_kWh/1000)</f>
        <v>6449.88370448555</v>
      </c>
      <c r="C29" s="39">
        <f>IF(ISERROR(B29*3.6/1000000/'E Balans VL '!Z10*100),0,B29*3.6/1000000/'E Balans VL '!Z10*100)</f>
        <v>0.70318720111115629</v>
      </c>
      <c r="D29" s="239" t="s">
        <v>692</v>
      </c>
      <c r="F29" s="6"/>
    </row>
    <row r="30" spans="1:18">
      <c r="A30" s="233" t="s">
        <v>50</v>
      </c>
      <c r="B30" s="33">
        <f>IF(ISERROR(TER_ander_ele_kWh/1000),0,TER_ander_ele_kWh/1000)</f>
        <v>5337.37794994669</v>
      </c>
      <c r="C30" s="39">
        <f>IF(ISERROR(B30*3.6/1000000/'E Balans VL '!Z14*100),0,B30*3.6/1000000/'E Balans VL '!Z14*100)</f>
        <v>0.39057721082223434</v>
      </c>
      <c r="D30" s="239" t="s">
        <v>692</v>
      </c>
      <c r="F30" s="6"/>
    </row>
    <row r="31" spans="1:18">
      <c r="A31" s="233" t="s">
        <v>55</v>
      </c>
      <c r="B31" s="33">
        <f>IF(ISERROR(TER_onderwijs_ele_kWh/1000),0,TER_onderwijs_ele_kWh/1000)</f>
        <v>1102.88812702772</v>
      </c>
      <c r="C31" s="39">
        <f>IF(ISERROR(B31*3.6/1000000/'E Balans VL '!Z11*100),0,B31*3.6/1000000/'E Balans VL '!Z11*100)</f>
        <v>0.22151589929565735</v>
      </c>
      <c r="D31" s="239" t="s">
        <v>692</v>
      </c>
    </row>
    <row r="32" spans="1:18">
      <c r="A32" s="233" t="s">
        <v>260</v>
      </c>
      <c r="B32" s="33">
        <f>IF(ISERROR(TER_rest_ele_kWh/1000),0,TER_rest_ele_kWh/1000)</f>
        <v>20610.461055955999</v>
      </c>
      <c r="C32" s="39">
        <f>IF(ISERROR(B32*3.6/1000000/'E Balans VL '!Z8*100),0,B32*3.6/1000000/'E Balans VL '!Z8*100)</f>
        <v>0.16796274975274045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41062.086030054561</v>
      </c>
      <c r="C5" s="17">
        <f>IF(ISERROR('Eigen informatie GS &amp; warmtenet'!B59),0,'Eigen informatie GS &amp; warmtenet'!B59)</f>
        <v>0</v>
      </c>
      <c r="D5" s="30">
        <f>SUM(D6:D15)</f>
        <v>51377.274203892775</v>
      </c>
      <c r="E5" s="17">
        <f>SUM(E6:E15)</f>
        <v>4243.5527378927964</v>
      </c>
      <c r="F5" s="17">
        <f>SUM(F6:F15)</f>
        <v>19098.557289045602</v>
      </c>
      <c r="G5" s="18"/>
      <c r="H5" s="17"/>
      <c r="I5" s="17"/>
      <c r="J5" s="17">
        <f>SUM(J6:J15)</f>
        <v>66.318693663175338</v>
      </c>
      <c r="K5" s="17"/>
      <c r="L5" s="17"/>
      <c r="M5" s="17"/>
      <c r="N5" s="17">
        <f>SUM(N6:N15)</f>
        <v>9358.7487156219795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515.11529380364698</v>
      </c>
      <c r="C8" s="33"/>
      <c r="D8" s="37">
        <f>IF( ISERROR(IND_metaal_Gas_kWH/1000),0,IND_metaal_Gas_kWH/1000)*0.902</f>
        <v>311.56954028091883</v>
      </c>
      <c r="E8" s="33">
        <f>C30*'E Balans VL '!I18/100/3.6*1000000</f>
        <v>14.796044743653999</v>
      </c>
      <c r="F8" s="33">
        <f>C30*'E Balans VL '!L18/100/3.6*1000000+C30*'E Balans VL '!N18/100/3.6*1000000</f>
        <v>132.11716576977486</v>
      </c>
      <c r="G8" s="34"/>
      <c r="H8" s="33"/>
      <c r="I8" s="33"/>
      <c r="J8" s="40">
        <f>C30*'E Balans VL '!D18/100/3.6*1000000+C30*'E Balans VL '!E18/100/3.6*1000000</f>
        <v>0</v>
      </c>
      <c r="K8" s="33"/>
      <c r="L8" s="33"/>
      <c r="M8" s="33"/>
      <c r="N8" s="33">
        <f>C30*'E Balans VL '!Y18/100/3.6*1000000</f>
        <v>13.986431726057692</v>
      </c>
      <c r="O8" s="33"/>
      <c r="P8" s="33"/>
      <c r="R8" s="32"/>
    </row>
    <row r="9" spans="1:18">
      <c r="A9" s="6" t="s">
        <v>33</v>
      </c>
      <c r="B9" s="37">
        <f t="shared" si="0"/>
        <v>9112.0817216905798</v>
      </c>
      <c r="C9" s="33"/>
      <c r="D9" s="37">
        <f>IF( ISERROR(IND_andere_gas_kWh/1000),0,IND_andere_gas_kWh/1000)*0.902</f>
        <v>2696.2343309024545</v>
      </c>
      <c r="E9" s="33">
        <f>C31*'E Balans VL '!I19/100/3.6*1000000</f>
        <v>2466.4164829398042</v>
      </c>
      <c r="F9" s="33">
        <f>C31*'E Balans VL '!L19/100/3.6*1000000+C31*'E Balans VL '!N19/100/3.6*1000000</f>
        <v>6069.6106863165242</v>
      </c>
      <c r="G9" s="34"/>
      <c r="H9" s="33"/>
      <c r="I9" s="33"/>
      <c r="J9" s="40">
        <f>C31*'E Balans VL '!D19/100/3.6*1000000+C31*'E Balans VL '!E19/100/3.6*1000000</f>
        <v>0</v>
      </c>
      <c r="K9" s="33"/>
      <c r="L9" s="33"/>
      <c r="M9" s="33"/>
      <c r="N9" s="33">
        <f>C31*'E Balans VL '!Y19/100/3.6*1000000</f>
        <v>2974.9433174960986</v>
      </c>
      <c r="O9" s="33"/>
      <c r="P9" s="33"/>
      <c r="R9" s="32"/>
    </row>
    <row r="10" spans="1:18">
      <c r="A10" s="6" t="s">
        <v>41</v>
      </c>
      <c r="B10" s="37">
        <f t="shared" si="0"/>
        <v>4574.4963126044804</v>
      </c>
      <c r="C10" s="33"/>
      <c r="D10" s="37">
        <f>IF( ISERROR(IND_voed_gas_kWh/1000),0,IND_voed_gas_kWh/1000)*0.902</f>
        <v>1355.066519956611</v>
      </c>
      <c r="E10" s="33">
        <f>C32*'E Balans VL '!I20/100/3.6*1000000</f>
        <v>373.1064288878249</v>
      </c>
      <c r="F10" s="33">
        <f>C32*'E Balans VL '!L20/100/3.6*1000000+C32*'E Balans VL '!N20/100/3.6*1000000</f>
        <v>6820.989036764634</v>
      </c>
      <c r="G10" s="34"/>
      <c r="H10" s="33"/>
      <c r="I10" s="33"/>
      <c r="J10" s="40">
        <f>C32*'E Balans VL '!D20/100/3.6*1000000+C32*'E Balans VL '!E20/100/3.6*1000000</f>
        <v>6.0515033522131022E-2</v>
      </c>
      <c r="K10" s="33"/>
      <c r="L10" s="33"/>
      <c r="M10" s="33"/>
      <c r="N10" s="33">
        <f>C32*'E Balans VL '!Y20/100/3.6*1000000</f>
        <v>1343.8256000735278</v>
      </c>
      <c r="O10" s="33"/>
      <c r="P10" s="33"/>
      <c r="R10" s="32"/>
    </row>
    <row r="11" spans="1:18">
      <c r="A11" s="6" t="s">
        <v>40</v>
      </c>
      <c r="B11" s="37">
        <f t="shared" si="0"/>
        <v>1492.24935417507</v>
      </c>
      <c r="C11" s="33"/>
      <c r="D11" s="37">
        <f>IF( ISERROR(IND_textiel_gas_kWh/1000),0,IND_textiel_gas_kWh/1000)*0.902</f>
        <v>649.82953968478955</v>
      </c>
      <c r="E11" s="33">
        <f>C33*'E Balans VL '!I21/100/3.6*1000000</f>
        <v>0.2957943529861552</v>
      </c>
      <c r="F11" s="33">
        <f>C33*'E Balans VL '!L21/100/3.6*1000000+C33*'E Balans VL '!N21/100/3.6*1000000</f>
        <v>54.961344118861106</v>
      </c>
      <c r="G11" s="34"/>
      <c r="H11" s="33"/>
      <c r="I11" s="33"/>
      <c r="J11" s="40">
        <f>C33*'E Balans VL '!D21/100/3.6*1000000+C33*'E Balans VL '!E21/100/3.6*1000000</f>
        <v>0</v>
      </c>
      <c r="K11" s="33"/>
      <c r="L11" s="33"/>
      <c r="M11" s="33"/>
      <c r="N11" s="33">
        <f>C33*'E Balans VL '!Y21/100/3.6*1000000</f>
        <v>6.9385827907314273</v>
      </c>
      <c r="O11" s="33"/>
      <c r="P11" s="33"/>
      <c r="R11" s="32"/>
    </row>
    <row r="12" spans="1:18">
      <c r="A12" s="6" t="s">
        <v>37</v>
      </c>
      <c r="B12" s="37">
        <f t="shared" si="0"/>
        <v>482.30512945495599</v>
      </c>
      <c r="C12" s="33"/>
      <c r="D12" s="37">
        <f>IF( ISERROR(IND_min_gas_kWh/1000),0,IND_min_gas_kWh/1000)*0.902</f>
        <v>0</v>
      </c>
      <c r="E12" s="33">
        <f>C34*'E Balans VL '!I22/100/3.6*1000000</f>
        <v>3.7570518686396044</v>
      </c>
      <c r="F12" s="33">
        <f>C34*'E Balans VL '!L22/100/3.6*1000000+C34*'E Balans VL '!N22/100/3.6*1000000</f>
        <v>181.89585627497638</v>
      </c>
      <c r="G12" s="34"/>
      <c r="H12" s="33"/>
      <c r="I12" s="33"/>
      <c r="J12" s="40">
        <f>C34*'E Balans VL '!D22/100/3.6*1000000+C34*'E Balans VL '!E22/100/3.6*1000000</f>
        <v>2.6526360426528721</v>
      </c>
      <c r="K12" s="33"/>
      <c r="L12" s="33"/>
      <c r="M12" s="33"/>
      <c r="N12" s="33">
        <f>C34*'E Balans VL '!Y22/100/3.6*1000000</f>
        <v>0</v>
      </c>
      <c r="O12" s="33"/>
      <c r="P12" s="33"/>
      <c r="R12" s="32"/>
    </row>
    <row r="13" spans="1:18">
      <c r="A13" s="6" t="s">
        <v>39</v>
      </c>
      <c r="B13" s="37">
        <f t="shared" si="0"/>
        <v>69.614266600529191</v>
      </c>
      <c r="C13" s="33"/>
      <c r="D13" s="37">
        <f>IF( ISERROR(IND_papier_gas_kWh/1000),0,IND_papier_gas_kWh/1000)*0.902</f>
        <v>113.28149697116976</v>
      </c>
      <c r="E13" s="33">
        <f>C35*'E Balans VL '!I23/100/3.6*1000000</f>
        <v>0.72933626435693488</v>
      </c>
      <c r="F13" s="33">
        <f>C35*'E Balans VL '!L23/100/3.6*1000000+C35*'E Balans VL '!N23/100/3.6*1000000</f>
        <v>5.1946289125840837</v>
      </c>
      <c r="G13" s="34"/>
      <c r="H13" s="33"/>
      <c r="I13" s="33"/>
      <c r="J13" s="40">
        <f>C35*'E Balans VL '!D23/100/3.6*1000000+C35*'E Balans VL '!E23/100/3.6*1000000</f>
        <v>0</v>
      </c>
      <c r="K13" s="33"/>
      <c r="L13" s="33"/>
      <c r="M13" s="33"/>
      <c r="N13" s="33">
        <f>C35*'E Balans VL '!Y23/100/3.6*1000000</f>
        <v>148.79322874225673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24816.2239517253</v>
      </c>
      <c r="C15" s="33"/>
      <c r="D15" s="37">
        <f>IF( ISERROR(IND_rest_gas_kWh/1000),0,IND_rest_gas_kWh/1000)*0.902</f>
        <v>46251.29277609683</v>
      </c>
      <c r="E15" s="33">
        <f>C37*'E Balans VL '!I15/100/3.6*1000000</f>
        <v>1384.4515988355311</v>
      </c>
      <c r="F15" s="33">
        <f>C37*'E Balans VL '!L15/100/3.6*1000000+C37*'E Balans VL '!N15/100/3.6*1000000</f>
        <v>5833.7885708882459</v>
      </c>
      <c r="G15" s="34"/>
      <c r="H15" s="33"/>
      <c r="I15" s="33"/>
      <c r="J15" s="40">
        <f>C37*'E Balans VL '!D15/100/3.6*1000000+C37*'E Balans VL '!E15/100/3.6*1000000</f>
        <v>63.605542587000336</v>
      </c>
      <c r="K15" s="33"/>
      <c r="L15" s="33"/>
      <c r="M15" s="33"/>
      <c r="N15" s="33">
        <f>C37*'E Balans VL '!Y15/100/3.6*1000000</f>
        <v>4870.2615547933065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41062.086030054561</v>
      </c>
      <c r="C18" s="21">
        <f>C5+C16</f>
        <v>0</v>
      </c>
      <c r="D18" s="21">
        <f>MAX((D5+D16),0)</f>
        <v>51377.274203892775</v>
      </c>
      <c r="E18" s="21">
        <f>MAX((E5+E16),0)</f>
        <v>4243.5527378927964</v>
      </c>
      <c r="F18" s="21">
        <f>MAX((F5+F16),0)</f>
        <v>19098.557289045602</v>
      </c>
      <c r="G18" s="21"/>
      <c r="H18" s="21"/>
      <c r="I18" s="21"/>
      <c r="J18" s="21">
        <f>MAX((J5+J16),0)</f>
        <v>66.318693663175338</v>
      </c>
      <c r="K18" s="21"/>
      <c r="L18" s="21">
        <f>MAX((L5+L16),0)</f>
        <v>0</v>
      </c>
      <c r="M18" s="21"/>
      <c r="N18" s="21">
        <f>MAX((N5+N16),0)</f>
        <v>9358.7487156219795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0.19497366017358309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8006.0252076422912</v>
      </c>
      <c r="C22" s="23">
        <f ca="1">C18*C20</f>
        <v>0</v>
      </c>
      <c r="D22" s="23">
        <f>D18*D20</f>
        <v>10378.209389186341</v>
      </c>
      <c r="E22" s="23">
        <f>E18*E20</f>
        <v>963.28647150166478</v>
      </c>
      <c r="F22" s="23">
        <f>F18*F20</f>
        <v>5099.3147961751765</v>
      </c>
      <c r="G22" s="23"/>
      <c r="H22" s="23"/>
      <c r="I22" s="23"/>
      <c r="J22" s="23">
        <f>J18*J20</f>
        <v>23.476817556764068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515.11529380364698</v>
      </c>
      <c r="C30" s="39">
        <f>IF(ISERROR(B30*3.6/1000000/'E Balans VL '!Z18*100),0,B30*3.6/1000000/'E Balans VL '!Z18*100)</f>
        <v>5.0686029961008829E-2</v>
      </c>
      <c r="D30" s="239" t="s">
        <v>692</v>
      </c>
    </row>
    <row r="31" spans="1:18">
      <c r="A31" s="6" t="s">
        <v>33</v>
      </c>
      <c r="B31" s="37">
        <f>IF( ISERROR(IND_ander_ele_kWh/1000),0,IND_ander_ele_kWh/1000)</f>
        <v>9112.0817216905798</v>
      </c>
      <c r="C31" s="39">
        <f>IF(ISERROR(B31*3.6/1000000/'E Balans VL '!Z19*100),0,B31*3.6/1000000/'E Balans VL '!Z19*100)</f>
        <v>0.39682389034363619</v>
      </c>
      <c r="D31" s="239" t="s">
        <v>692</v>
      </c>
    </row>
    <row r="32" spans="1:18">
      <c r="A32" s="173" t="s">
        <v>41</v>
      </c>
      <c r="B32" s="37">
        <f>IF( ISERROR(IND_voed_ele_kWh/1000),0,IND_voed_ele_kWh/1000)</f>
        <v>4574.4963126044804</v>
      </c>
      <c r="C32" s="39">
        <f>IF(ISERROR(B32*3.6/1000000/'E Balans VL '!Z20*100),0,B32*3.6/1000000/'E Balans VL '!Z20*100)</f>
        <v>0.86794470390304024</v>
      </c>
      <c r="D32" s="239" t="s">
        <v>692</v>
      </c>
    </row>
    <row r="33" spans="1:5">
      <c r="A33" s="173" t="s">
        <v>40</v>
      </c>
      <c r="B33" s="37">
        <f>IF( ISERROR(IND_textiel_ele_kWh/1000),0,IND_textiel_ele_kWh/1000)</f>
        <v>1492.24935417507</v>
      </c>
      <c r="C33" s="39">
        <f>IF(ISERROR(B33*3.6/1000000/'E Balans VL '!Z21*100),0,B33*3.6/1000000/'E Balans VL '!Z21*100)</f>
        <v>8.5199870545852846E-2</v>
      </c>
      <c r="D33" s="239" t="s">
        <v>692</v>
      </c>
    </row>
    <row r="34" spans="1:5">
      <c r="A34" s="173" t="s">
        <v>37</v>
      </c>
      <c r="B34" s="37">
        <f>IF( ISERROR(IND_min_ele_kWh/1000),0,IND_min_ele_kWh/1000)</f>
        <v>482.30512945495599</v>
      </c>
      <c r="C34" s="39">
        <f>IF(ISERROR(B34*3.6/1000000/'E Balans VL '!Z22*100),0,B34*3.6/1000000/'E Balans VL '!Z22*100)</f>
        <v>6.7816944358517373E-2</v>
      </c>
      <c r="D34" s="239" t="s">
        <v>692</v>
      </c>
    </row>
    <row r="35" spans="1:5">
      <c r="A35" s="173" t="s">
        <v>39</v>
      </c>
      <c r="B35" s="37">
        <f>IF( ISERROR(IND_papier_ele_kWh/1000),0,IND_papier_ele_kWh/1000)</f>
        <v>69.614266600529191</v>
      </c>
      <c r="C35" s="39">
        <f>IF(ISERROR(B35*3.6/1000000/'E Balans VL '!Z22*100),0,B35*3.6/1000000/'E Balans VL '!Z22*100)</f>
        <v>9.7884649287106416E-3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24816.2239517253</v>
      </c>
      <c r="C37" s="39">
        <f>IF(ISERROR(B37*3.6/1000000/'E Balans VL '!Z15*100),0,B37*3.6/1000000/'E Balans VL '!Z15*100)</f>
        <v>0.19123948615397918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1071.0689380298891</v>
      </c>
      <c r="C5" s="17">
        <f>'Eigen informatie GS &amp; warmtenet'!B60</f>
        <v>0</v>
      </c>
      <c r="D5" s="30">
        <f>IF(ISERROR(SUM(LB_lb_gas_kWh,LB_rest_gas_kWh)/1000),0,SUM(LB_lb_gas_kWh,LB_rest_gas_kWh)/1000)*0.902</f>
        <v>437.46945944856691</v>
      </c>
      <c r="E5" s="17">
        <f>B17*'E Balans VL '!I25/3.6*1000000/100</f>
        <v>13.496848436514037</v>
      </c>
      <c r="F5" s="17">
        <f>B17*('E Balans VL '!L25/3.6*1000000+'E Balans VL '!N25/3.6*1000000)/100</f>
        <v>3695.4561550047993</v>
      </c>
      <c r="G5" s="18"/>
      <c r="H5" s="17"/>
      <c r="I5" s="17"/>
      <c r="J5" s="17">
        <f>('E Balans VL '!D25+'E Balans VL '!E25)/3.6*1000000*landbouw!B17/100</f>
        <v>161.07659279772054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1071.0689380298891</v>
      </c>
      <c r="C8" s="21">
        <f>C5+C6</f>
        <v>0</v>
      </c>
      <c r="D8" s="21">
        <f>MAX((D5+D6),0)</f>
        <v>437.46945944856691</v>
      </c>
      <c r="E8" s="21">
        <f>MAX((E5+E6),0)</f>
        <v>13.496848436514037</v>
      </c>
      <c r="F8" s="21">
        <f>MAX((F5+F6),0)</f>
        <v>3695.4561550047993</v>
      </c>
      <c r="G8" s="21"/>
      <c r="H8" s="21"/>
      <c r="I8" s="21"/>
      <c r="J8" s="21">
        <f>MAX((J5+J6),0)</f>
        <v>161.07659279772054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0.19497366017358309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208.83023114592012</v>
      </c>
      <c r="C12" s="23">
        <f ca="1">C8*C10</f>
        <v>0</v>
      </c>
      <c r="D12" s="23">
        <f>D8*D10</f>
        <v>88.368830808610525</v>
      </c>
      <c r="E12" s="23">
        <f>E8*E10</f>
        <v>3.0637845950886864</v>
      </c>
      <c r="F12" s="23">
        <f>F8*F10</f>
        <v>986.68679338628147</v>
      </c>
      <c r="G12" s="23"/>
      <c r="H12" s="23"/>
      <c r="I12" s="23"/>
      <c r="J12" s="23">
        <f>J8*J10</f>
        <v>57.021113850393064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0.14938035872177755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171.06188529056442</v>
      </c>
      <c r="C26" s="249">
        <f>B26*'GWP N2O_CH4'!B5</f>
        <v>3592.2995911018529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77.070140206225432</v>
      </c>
      <c r="C27" s="249">
        <f>B27*'GWP N2O_CH4'!B5</f>
        <v>1618.472944330734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2.3538859937176539</v>
      </c>
      <c r="C28" s="249">
        <f>B28*'GWP N2O_CH4'!B4</f>
        <v>729.70465805247272</v>
      </c>
      <c r="D28" s="50"/>
    </row>
    <row r="29" spans="1:4">
      <c r="A29" s="41" t="s">
        <v>277</v>
      </c>
      <c r="B29" s="249">
        <f>B34*'ha_N2O bodem landbouw'!B4</f>
        <v>8.7145411397576282</v>
      </c>
      <c r="C29" s="249">
        <f>B29*'GWP N2O_CH4'!B4</f>
        <v>2701.5077533248646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2.1759338444720423E-3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3.6571731620582516E-5</v>
      </c>
      <c r="C5" s="448" t="s">
        <v>211</v>
      </c>
      <c r="D5" s="433">
        <f>SUM(D6:D11)</f>
        <v>5.84925865984707E-5</v>
      </c>
      <c r="E5" s="433">
        <f>SUM(E6:E11)</f>
        <v>1.9802571668077087E-3</v>
      </c>
      <c r="F5" s="446" t="s">
        <v>211</v>
      </c>
      <c r="G5" s="433">
        <f>SUM(G6:G11)</f>
        <v>0.55151111032273292</v>
      </c>
      <c r="H5" s="433">
        <f>SUM(H6:H11)</f>
        <v>8.929474710502594E-2</v>
      </c>
      <c r="I5" s="448" t="s">
        <v>211</v>
      </c>
      <c r="J5" s="448" t="s">
        <v>211</v>
      </c>
      <c r="K5" s="448" t="s">
        <v>211</v>
      </c>
      <c r="L5" s="448" t="s">
        <v>211</v>
      </c>
      <c r="M5" s="433">
        <f>SUM(M6:M11)</f>
        <v>2.8963159739684434E-2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1.6180990399270415E-5</v>
      </c>
      <c r="C6" s="887"/>
      <c r="D6" s="887">
        <f>vkm_2011_GW_PW*SUMIFS(TableVerdeelsleutelVkm[CNG],TableVerdeelsleutelVkm[Voertuigtype],"Lichte voertuigen")*SUMIFS(TableECFTransport[EnergieConsumptieFactor (PJ per km)],TableECFTransport[Index],CONCATENATE($A6,"_CNG_CNG"))</f>
        <v>2.2915447093411538E-5</v>
      </c>
      <c r="E6" s="887">
        <f>vkm_2011_GW_PW*SUMIFS(TableVerdeelsleutelVkm[LPG],TableVerdeelsleutelVkm[Voertuigtype],"Lichte voertuigen")*SUMIFS(TableECFTransport[EnergieConsumptieFactor (PJ per km)],TableECFTransport[Index],CONCATENATE($A6,"_LPG_LPG"))</f>
        <v>7.1969875356060287E-4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0.12934957283434859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3.4660258865561941E-2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7.4203288425608895E-3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5.7624026899963127E-2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2.0473219382956075E-5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2.6003899665288429E-3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5.1952211506462884E-6</v>
      </c>
      <c r="C8" s="887"/>
      <c r="D8" s="436">
        <f>vkm_2011_NGW_PW*SUMIFS(TableVerdeelsleutelVkm[CNG],TableVerdeelsleutelVkm[Voertuigtype],"Lichte voertuigen")*SUMIFS(TableECFTransport[EnergieConsumptieFactor (PJ per km)],TableECFTransport[Index],CONCATENATE($A8,"_CNG_CNG"))</f>
        <v>1.3107421262862689E-5</v>
      </c>
      <c r="E8" s="436">
        <f>vkm_2011_NGW_PW*SUMIFS(TableVerdeelsleutelVkm[LPG],TableVerdeelsleutelVkm[Voertuigtype],"Lichte voertuigen")*SUMIFS(TableECFTransport[EnergieConsumptieFactor (PJ per km)],TableECFTransport[Index],CONCATENATE($A8,"_LPG_LPG"))</f>
        <v>3.7916822523585491E-4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6.4272690970467172E-2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1.9129506503992772E-2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3.7743257262053617E-3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1.0914953801213823E-2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3.6696879789595515E-6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4.9254779518439627E-4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1.5195520070665816E-5</v>
      </c>
      <c r="C10" s="887"/>
      <c r="D10" s="436">
        <f>vkm_2011_SW_PW*SUMIFS(TableVerdeelsleutelVkm[CNG],TableVerdeelsleutelVkm[Voertuigtype],"Lichte voertuigen")*SUMIFS(TableECFTransport[EnergieConsumptieFactor (PJ per km)],TableECFTransport[Index],CONCATENATE($A10,"_CNG_CNG"))</f>
        <v>2.2469718242196469E-5</v>
      </c>
      <c r="E10" s="436">
        <f>vkm_2011_SW_PW*SUMIFS(TableVerdeelsleutelVkm[LPG],TableVerdeelsleutelVkm[Voertuigtype],"Lichte voertuigen")*SUMIFS(TableECFTransport[EnergieConsumptieFactor (PJ per km)],TableECFTransport[Index],CONCATENATE($A10,"_LPG_LPG"))</f>
        <v>8.8139018801125101E-4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0.14346441132471416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3.5424943700148329E-2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8.0920326851264997E-3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0.14588545449202606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5.5895127960980834E-5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6.5835347240784442E-3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10.1588143390507</v>
      </c>
      <c r="C14" s="21"/>
      <c r="D14" s="21">
        <f t="shared" ref="D14:M14" si="0">((D5)*10^9/3600)+D12</f>
        <v>16.247940721797416</v>
      </c>
      <c r="E14" s="21">
        <f t="shared" si="0"/>
        <v>550.07143522436354</v>
      </c>
      <c r="F14" s="21"/>
      <c r="G14" s="21">
        <f t="shared" si="0"/>
        <v>153197.5306452036</v>
      </c>
      <c r="H14" s="21">
        <f t="shared" si="0"/>
        <v>24804.096418062763</v>
      </c>
      <c r="I14" s="21"/>
      <c r="J14" s="21"/>
      <c r="K14" s="21"/>
      <c r="L14" s="21"/>
      <c r="M14" s="21">
        <f t="shared" si="0"/>
        <v>8045.3221499123429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0.19497366017358309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1.9807012147085943</v>
      </c>
      <c r="C18" s="23"/>
      <c r="D18" s="23">
        <f t="shared" ref="D18:M18" si="1">D14*D16</f>
        <v>3.2820840258030781</v>
      </c>
      <c r="E18" s="23">
        <f t="shared" si="1"/>
        <v>124.86621579593053</v>
      </c>
      <c r="F18" s="23"/>
      <c r="G18" s="23">
        <f t="shared" si="1"/>
        <v>40903.740682269367</v>
      </c>
      <c r="H18" s="23">
        <f t="shared" si="1"/>
        <v>6176.2200080976281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7.9797856457643791E-3</v>
      </c>
      <c r="H50" s="323">
        <f t="shared" si="2"/>
        <v>0</v>
      </c>
      <c r="I50" s="323">
        <f t="shared" si="2"/>
        <v>0</v>
      </c>
      <c r="J50" s="323">
        <f t="shared" si="2"/>
        <v>0</v>
      </c>
      <c r="K50" s="323">
        <f t="shared" si="2"/>
        <v>0</v>
      </c>
      <c r="L50" s="323">
        <f t="shared" si="2"/>
        <v>0</v>
      </c>
      <c r="M50" s="323">
        <f t="shared" si="2"/>
        <v>3.5488058555554884E-4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7.9797856457643791E-3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3.5488058555554884E-4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2216.6071238234385</v>
      </c>
      <c r="H54" s="21">
        <f t="shared" si="3"/>
        <v>0</v>
      </c>
      <c r="I54" s="21">
        <f t="shared" si="3"/>
        <v>0</v>
      </c>
      <c r="J54" s="21">
        <f t="shared" si="3"/>
        <v>0</v>
      </c>
      <c r="K54" s="21">
        <f t="shared" si="3"/>
        <v>0</v>
      </c>
      <c r="L54" s="21">
        <f t="shared" si="3"/>
        <v>0</v>
      </c>
      <c r="M54" s="21">
        <f t="shared" si="3"/>
        <v>98.577940432096895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0.19497366017358309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591.83410206085807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69331.789586635641</v>
      </c>
      <c r="D10" s="690">
        <f ca="1">tertiair!C16</f>
        <v>0</v>
      </c>
      <c r="E10" s="690">
        <f ca="1">tertiair!D16</f>
        <v>63585.977068885681</v>
      </c>
      <c r="F10" s="690">
        <f>tertiair!E16</f>
        <v>767.05354812470944</v>
      </c>
      <c r="G10" s="690">
        <f ca="1">tertiair!F16</f>
        <v>12995.705245228077</v>
      </c>
      <c r="H10" s="690">
        <f>tertiair!G16</f>
        <v>0</v>
      </c>
      <c r="I10" s="690">
        <f>tertiair!H16</f>
        <v>0</v>
      </c>
      <c r="J10" s="690">
        <f>tertiair!I16</f>
        <v>0</v>
      </c>
      <c r="K10" s="690">
        <f>tertiair!J16</f>
        <v>0</v>
      </c>
      <c r="L10" s="690">
        <f>tertiair!K16</f>
        <v>0</v>
      </c>
      <c r="M10" s="690">
        <f ca="1">tertiair!L16</f>
        <v>0</v>
      </c>
      <c r="N10" s="690">
        <f>tertiair!M16</f>
        <v>0</v>
      </c>
      <c r="O10" s="690">
        <f ca="1">tertiair!N16</f>
        <v>5477.8122019222719</v>
      </c>
      <c r="P10" s="690">
        <f>tertiair!O16</f>
        <v>4.6900000000000004</v>
      </c>
      <c r="Q10" s="691">
        <f>tertiair!P16</f>
        <v>38.133333333333333</v>
      </c>
      <c r="R10" s="693">
        <f ca="1">SUM(C10:Q10)</f>
        <v>152201.1609841297</v>
      </c>
      <c r="S10" s="67"/>
    </row>
    <row r="11" spans="1:19" s="458" customFormat="1">
      <c r="A11" s="805" t="s">
        <v>225</v>
      </c>
      <c r="B11" s="810"/>
      <c r="C11" s="690">
        <f>huishoudens!B8</f>
        <v>50546.316460240298</v>
      </c>
      <c r="D11" s="690">
        <f>huishoudens!C8</f>
        <v>0</v>
      </c>
      <c r="E11" s="690">
        <f>huishoudens!D8</f>
        <v>172615.23629991847</v>
      </c>
      <c r="F11" s="690">
        <f>huishoudens!E8</f>
        <v>3504.4364397717595</v>
      </c>
      <c r="G11" s="690">
        <f>huishoudens!F8</f>
        <v>0</v>
      </c>
      <c r="H11" s="690">
        <f>huishoudens!G8</f>
        <v>0</v>
      </c>
      <c r="I11" s="690">
        <f>huishoudens!H8</f>
        <v>0</v>
      </c>
      <c r="J11" s="690">
        <f>huishoudens!I8</f>
        <v>0</v>
      </c>
      <c r="K11" s="690">
        <f>huishoudens!J8</f>
        <v>9446.6099102748594</v>
      </c>
      <c r="L11" s="690">
        <f>huishoudens!K8</f>
        <v>0</v>
      </c>
      <c r="M11" s="690">
        <f>huishoudens!L8</f>
        <v>0</v>
      </c>
      <c r="N11" s="690">
        <f>huishoudens!M8</f>
        <v>0</v>
      </c>
      <c r="O11" s="690">
        <f>huishoudens!N8</f>
        <v>20801.639685725557</v>
      </c>
      <c r="P11" s="690">
        <f>huishoudens!O8</f>
        <v>245.44333333333333</v>
      </c>
      <c r="Q11" s="691">
        <f>huishoudens!P8</f>
        <v>286</v>
      </c>
      <c r="R11" s="693">
        <f>SUM(C11:Q11)</f>
        <v>257445.68212926429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41062.086030054561</v>
      </c>
      <c r="D13" s="690">
        <f>industrie!C18</f>
        <v>0</v>
      </c>
      <c r="E13" s="690">
        <f>industrie!D18</f>
        <v>51377.274203892775</v>
      </c>
      <c r="F13" s="690">
        <f>industrie!E18</f>
        <v>4243.5527378927964</v>
      </c>
      <c r="G13" s="690">
        <f>industrie!F18</f>
        <v>19098.557289045602</v>
      </c>
      <c r="H13" s="690">
        <f>industrie!G18</f>
        <v>0</v>
      </c>
      <c r="I13" s="690">
        <f>industrie!H18</f>
        <v>0</v>
      </c>
      <c r="J13" s="690">
        <f>industrie!I18</f>
        <v>0</v>
      </c>
      <c r="K13" s="690">
        <f>industrie!J18</f>
        <v>66.318693663175338</v>
      </c>
      <c r="L13" s="690">
        <f>industrie!K18</f>
        <v>0</v>
      </c>
      <c r="M13" s="690">
        <f>industrie!L18</f>
        <v>0</v>
      </c>
      <c r="N13" s="690">
        <f>industrie!M18</f>
        <v>0</v>
      </c>
      <c r="O13" s="690">
        <f>industrie!N18</f>
        <v>9358.7487156219795</v>
      </c>
      <c r="P13" s="690">
        <f>industrie!O18</f>
        <v>0</v>
      </c>
      <c r="Q13" s="691">
        <f>industrie!P18</f>
        <v>0</v>
      </c>
      <c r="R13" s="693">
        <f>SUM(C13:Q13)</f>
        <v>125206.53767017089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160940.19207693049</v>
      </c>
      <c r="D16" s="725">
        <f t="shared" ref="D16:R16" ca="1" si="0">SUM(D9:D15)</f>
        <v>0</v>
      </c>
      <c r="E16" s="725">
        <f t="shared" ca="1" si="0"/>
        <v>287578.48757269693</v>
      </c>
      <c r="F16" s="725">
        <f t="shared" si="0"/>
        <v>8515.0427257892661</v>
      </c>
      <c r="G16" s="725">
        <f t="shared" ca="1" si="0"/>
        <v>32094.262534273679</v>
      </c>
      <c r="H16" s="725">
        <f t="shared" si="0"/>
        <v>0</v>
      </c>
      <c r="I16" s="725">
        <f t="shared" si="0"/>
        <v>0</v>
      </c>
      <c r="J16" s="725">
        <f t="shared" si="0"/>
        <v>0</v>
      </c>
      <c r="K16" s="725">
        <f t="shared" si="0"/>
        <v>9512.9286039380349</v>
      </c>
      <c r="L16" s="725">
        <f t="shared" si="0"/>
        <v>0</v>
      </c>
      <c r="M16" s="725">
        <f t="shared" ca="1" si="0"/>
        <v>0</v>
      </c>
      <c r="N16" s="725">
        <f t="shared" si="0"/>
        <v>0</v>
      </c>
      <c r="O16" s="725">
        <f t="shared" ca="1" si="0"/>
        <v>35638.200603269812</v>
      </c>
      <c r="P16" s="725">
        <f t="shared" si="0"/>
        <v>250.13333333333333</v>
      </c>
      <c r="Q16" s="725">
        <f t="shared" si="0"/>
        <v>324.13333333333333</v>
      </c>
      <c r="R16" s="725">
        <f t="shared" ca="1" si="0"/>
        <v>534853.38078356488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2216.6071238234385</v>
      </c>
      <c r="I19" s="690">
        <f>transport!H54</f>
        <v>0</v>
      </c>
      <c r="J19" s="690">
        <f>transport!I54</f>
        <v>0</v>
      </c>
      <c r="K19" s="690">
        <f>transport!J54</f>
        <v>0</v>
      </c>
      <c r="L19" s="690">
        <f>transport!K54</f>
        <v>0</v>
      </c>
      <c r="M19" s="690">
        <f>transport!L54</f>
        <v>0</v>
      </c>
      <c r="N19" s="690">
        <f>transport!M54</f>
        <v>98.577940432096895</v>
      </c>
      <c r="O19" s="690">
        <f>transport!N54</f>
        <v>0</v>
      </c>
      <c r="P19" s="690">
        <f>transport!O54</f>
        <v>0</v>
      </c>
      <c r="Q19" s="691">
        <f>transport!P54</f>
        <v>0</v>
      </c>
      <c r="R19" s="693">
        <f>SUM(C19:Q19)</f>
        <v>2315.1850642555355</v>
      </c>
      <c r="S19" s="67"/>
    </row>
    <row r="20" spans="1:19" s="458" customFormat="1">
      <c r="A20" s="805" t="s">
        <v>307</v>
      </c>
      <c r="B20" s="810"/>
      <c r="C20" s="690">
        <f>transport!B14</f>
        <v>10.1588143390507</v>
      </c>
      <c r="D20" s="690">
        <f>transport!C14</f>
        <v>0</v>
      </c>
      <c r="E20" s="690">
        <f>transport!D14</f>
        <v>16.247940721797416</v>
      </c>
      <c r="F20" s="690">
        <f>transport!E14</f>
        <v>550.07143522436354</v>
      </c>
      <c r="G20" s="690">
        <f>transport!F14</f>
        <v>0</v>
      </c>
      <c r="H20" s="690">
        <f>transport!G14</f>
        <v>153197.5306452036</v>
      </c>
      <c r="I20" s="690">
        <f>transport!H14</f>
        <v>24804.096418062763</v>
      </c>
      <c r="J20" s="690">
        <f>transport!I14</f>
        <v>0</v>
      </c>
      <c r="K20" s="690">
        <f>transport!J14</f>
        <v>0</v>
      </c>
      <c r="L20" s="690">
        <f>transport!K14</f>
        <v>0</v>
      </c>
      <c r="M20" s="690">
        <f>transport!L14</f>
        <v>0</v>
      </c>
      <c r="N20" s="690">
        <f>transport!M14</f>
        <v>8045.3221499123429</v>
      </c>
      <c r="O20" s="690">
        <f>transport!N14</f>
        <v>0</v>
      </c>
      <c r="P20" s="690">
        <f>transport!O14</f>
        <v>0</v>
      </c>
      <c r="Q20" s="691">
        <f>transport!P14</f>
        <v>0</v>
      </c>
      <c r="R20" s="693">
        <f>SUM(C20:Q20)</f>
        <v>186623.42740346389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10.1588143390507</v>
      </c>
      <c r="D22" s="808">
        <f t="shared" ref="D22:R22" si="1">SUM(D18:D21)</f>
        <v>0</v>
      </c>
      <c r="E22" s="808">
        <f t="shared" si="1"/>
        <v>16.247940721797416</v>
      </c>
      <c r="F22" s="808">
        <f t="shared" si="1"/>
        <v>550.07143522436354</v>
      </c>
      <c r="G22" s="808">
        <f t="shared" si="1"/>
        <v>0</v>
      </c>
      <c r="H22" s="808">
        <f t="shared" si="1"/>
        <v>155414.13776902703</v>
      </c>
      <c r="I22" s="808">
        <f t="shared" si="1"/>
        <v>24804.096418062763</v>
      </c>
      <c r="J22" s="808">
        <f t="shared" si="1"/>
        <v>0</v>
      </c>
      <c r="K22" s="808">
        <f t="shared" si="1"/>
        <v>0</v>
      </c>
      <c r="L22" s="808">
        <f t="shared" si="1"/>
        <v>0</v>
      </c>
      <c r="M22" s="808">
        <f t="shared" si="1"/>
        <v>0</v>
      </c>
      <c r="N22" s="808">
        <f t="shared" si="1"/>
        <v>8143.9000903444394</v>
      </c>
      <c r="O22" s="808">
        <f t="shared" si="1"/>
        <v>0</v>
      </c>
      <c r="P22" s="808">
        <f t="shared" si="1"/>
        <v>0</v>
      </c>
      <c r="Q22" s="808">
        <f t="shared" si="1"/>
        <v>0</v>
      </c>
      <c r="R22" s="808">
        <f t="shared" si="1"/>
        <v>188938.61246771942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1071.0689380298891</v>
      </c>
      <c r="D24" s="690">
        <f>+landbouw!C8</f>
        <v>0</v>
      </c>
      <c r="E24" s="690">
        <f>+landbouw!D8</f>
        <v>437.46945944856691</v>
      </c>
      <c r="F24" s="690">
        <f>+landbouw!E8</f>
        <v>13.496848436514037</v>
      </c>
      <c r="G24" s="690">
        <f>+landbouw!F8</f>
        <v>3695.4561550047993</v>
      </c>
      <c r="H24" s="690">
        <f>+landbouw!G8</f>
        <v>0</v>
      </c>
      <c r="I24" s="690">
        <f>+landbouw!H8</f>
        <v>0</v>
      </c>
      <c r="J24" s="690">
        <f>+landbouw!I8</f>
        <v>0</v>
      </c>
      <c r="K24" s="690">
        <f>+landbouw!J8</f>
        <v>161.07659279772054</v>
      </c>
      <c r="L24" s="690">
        <f>+landbouw!K8</f>
        <v>0</v>
      </c>
      <c r="M24" s="690">
        <f>+landbouw!L8</f>
        <v>0</v>
      </c>
      <c r="N24" s="690">
        <f>+landbouw!M8</f>
        <v>0</v>
      </c>
      <c r="O24" s="690">
        <f>+landbouw!N8</f>
        <v>0</v>
      </c>
      <c r="P24" s="690">
        <f>+landbouw!O8</f>
        <v>0</v>
      </c>
      <c r="Q24" s="691">
        <f>+landbouw!P8</f>
        <v>0</v>
      </c>
      <c r="R24" s="693">
        <f>SUM(C24:Q24)</f>
        <v>5378.56799371749</v>
      </c>
      <c r="S24" s="67"/>
    </row>
    <row r="25" spans="1:19" s="458" customFormat="1" ht="15" thickBot="1">
      <c r="A25" s="827" t="s">
        <v>872</v>
      </c>
      <c r="B25" s="1004"/>
      <c r="C25" s="1005">
        <f>IF(Onbekend_ele_kWh="---",0,Onbekend_ele_kWh)/1000+IF(REST_rest_ele_kWh="---",0,REST_rest_ele_kWh)/1000</f>
        <v>1617.08438634808</v>
      </c>
      <c r="D25" s="1005"/>
      <c r="E25" s="1005">
        <f>IF(onbekend_gas_kWh="---",0,onbekend_gas_kWh)/1000+IF(REST_rest_gas_kWh="---",0,REST_rest_gas_kWh)/1000</f>
        <v>6122.1229381097201</v>
      </c>
      <c r="F25" s="1005"/>
      <c r="G25" s="1005"/>
      <c r="H25" s="1005"/>
      <c r="I25" s="1005"/>
      <c r="J25" s="1005"/>
      <c r="K25" s="1005"/>
      <c r="L25" s="1005"/>
      <c r="M25" s="1005"/>
      <c r="N25" s="1005"/>
      <c r="O25" s="1005"/>
      <c r="P25" s="1005"/>
      <c r="Q25" s="1006"/>
      <c r="R25" s="693">
        <f>SUM(C25:Q25)</f>
        <v>7739.2073244578005</v>
      </c>
      <c r="S25" s="67"/>
    </row>
    <row r="26" spans="1:19" s="458" customFormat="1" ht="15.75" thickBot="1">
      <c r="A26" s="698" t="s">
        <v>873</v>
      </c>
      <c r="B26" s="813"/>
      <c r="C26" s="808">
        <f>SUM(C24:C25)</f>
        <v>2688.1533243779691</v>
      </c>
      <c r="D26" s="808">
        <f t="shared" ref="D26:R26" si="2">SUM(D24:D25)</f>
        <v>0</v>
      </c>
      <c r="E26" s="808">
        <f t="shared" si="2"/>
        <v>6559.5923975582873</v>
      </c>
      <c r="F26" s="808">
        <f t="shared" si="2"/>
        <v>13.496848436514037</v>
      </c>
      <c r="G26" s="808">
        <f t="shared" si="2"/>
        <v>3695.4561550047993</v>
      </c>
      <c r="H26" s="808">
        <f t="shared" si="2"/>
        <v>0</v>
      </c>
      <c r="I26" s="808">
        <f t="shared" si="2"/>
        <v>0</v>
      </c>
      <c r="J26" s="808">
        <f t="shared" si="2"/>
        <v>0</v>
      </c>
      <c r="K26" s="808">
        <f t="shared" si="2"/>
        <v>161.07659279772054</v>
      </c>
      <c r="L26" s="808">
        <f t="shared" si="2"/>
        <v>0</v>
      </c>
      <c r="M26" s="808">
        <f t="shared" si="2"/>
        <v>0</v>
      </c>
      <c r="N26" s="808">
        <f t="shared" si="2"/>
        <v>0</v>
      </c>
      <c r="O26" s="808">
        <f t="shared" si="2"/>
        <v>0</v>
      </c>
      <c r="P26" s="808">
        <f t="shared" si="2"/>
        <v>0</v>
      </c>
      <c r="Q26" s="808">
        <f t="shared" si="2"/>
        <v>0</v>
      </c>
      <c r="R26" s="808">
        <f t="shared" si="2"/>
        <v>13117.775318175291</v>
      </c>
      <c r="S26" s="67"/>
    </row>
    <row r="27" spans="1:19" s="458" customFormat="1" ht="17.25" thickTop="1" thickBot="1">
      <c r="A27" s="699" t="s">
        <v>116</v>
      </c>
      <c r="B27" s="800"/>
      <c r="C27" s="700">
        <f ca="1">C22+C16+C26</f>
        <v>163638.5042156475</v>
      </c>
      <c r="D27" s="700">
        <f t="shared" ref="D27:R27" ca="1" si="3">D22+D16+D26</f>
        <v>0</v>
      </c>
      <c r="E27" s="700">
        <f t="shared" ca="1" si="3"/>
        <v>294154.32791097701</v>
      </c>
      <c r="F27" s="700">
        <f t="shared" si="3"/>
        <v>9078.6110094501437</v>
      </c>
      <c r="G27" s="700">
        <f t="shared" ca="1" si="3"/>
        <v>35789.718689278481</v>
      </c>
      <c r="H27" s="700">
        <f t="shared" si="3"/>
        <v>155414.13776902703</v>
      </c>
      <c r="I27" s="700">
        <f t="shared" si="3"/>
        <v>24804.096418062763</v>
      </c>
      <c r="J27" s="700">
        <f t="shared" si="3"/>
        <v>0</v>
      </c>
      <c r="K27" s="700">
        <f t="shared" si="3"/>
        <v>9674.0051967357558</v>
      </c>
      <c r="L27" s="700">
        <f t="shared" si="3"/>
        <v>0</v>
      </c>
      <c r="M27" s="700">
        <f t="shared" ca="1" si="3"/>
        <v>0</v>
      </c>
      <c r="N27" s="700">
        <f t="shared" si="3"/>
        <v>8143.9000903444394</v>
      </c>
      <c r="O27" s="700">
        <f t="shared" ca="1" si="3"/>
        <v>35638.200603269812</v>
      </c>
      <c r="P27" s="700">
        <f t="shared" si="3"/>
        <v>250.13333333333333</v>
      </c>
      <c r="Q27" s="700">
        <f t="shared" si="3"/>
        <v>324.13333333333333</v>
      </c>
      <c r="R27" s="700">
        <f t="shared" ca="1" si="3"/>
        <v>736909.76856945967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13517.872782091063</v>
      </c>
      <c r="D40" s="690">
        <f ca="1">tertiair!C20</f>
        <v>0</v>
      </c>
      <c r="E40" s="690">
        <f ca="1">tertiair!D20</f>
        <v>12844.367367914909</v>
      </c>
      <c r="F40" s="690">
        <f>tertiair!E20</f>
        <v>174.12115542430905</v>
      </c>
      <c r="G40" s="690">
        <f ca="1">tertiair!F20</f>
        <v>3469.8533004758965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30006.214605906178</v>
      </c>
    </row>
    <row r="41" spans="1:18">
      <c r="A41" s="818" t="s">
        <v>225</v>
      </c>
      <c r="B41" s="825"/>
      <c r="C41" s="690">
        <f ca="1">huishoudens!B12</f>
        <v>9855.2003285452811</v>
      </c>
      <c r="D41" s="690">
        <f ca="1">huishoudens!C12</f>
        <v>0</v>
      </c>
      <c r="E41" s="690">
        <f>huishoudens!D12</f>
        <v>34868.277732583534</v>
      </c>
      <c r="F41" s="690">
        <f>huishoudens!E12</f>
        <v>795.5070718281894</v>
      </c>
      <c r="G41" s="690">
        <f>huishoudens!F12</f>
        <v>0</v>
      </c>
      <c r="H41" s="690">
        <f>huishoudens!G12</f>
        <v>0</v>
      </c>
      <c r="I41" s="690">
        <f>huishoudens!H12</f>
        <v>0</v>
      </c>
      <c r="J41" s="690">
        <f>huishoudens!I12</f>
        <v>0</v>
      </c>
      <c r="K41" s="690">
        <f>huishoudens!J12</f>
        <v>3344.0999082373</v>
      </c>
      <c r="L41" s="690">
        <f>huishoudens!K12</f>
        <v>0</v>
      </c>
      <c r="M41" s="690">
        <f>huishoudens!L12</f>
        <v>0</v>
      </c>
      <c r="N41" s="690">
        <f>huishoudens!M12</f>
        <v>0</v>
      </c>
      <c r="O41" s="690">
        <f>huishoudens!N12</f>
        <v>0</v>
      </c>
      <c r="P41" s="690">
        <f>huishoudens!O12</f>
        <v>0</v>
      </c>
      <c r="Q41" s="767">
        <f>huishoudens!P12</f>
        <v>0</v>
      </c>
      <c r="R41" s="846">
        <f t="shared" ca="1" si="4"/>
        <v>48863.085041194303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8006.0252076422912</v>
      </c>
      <c r="D43" s="690">
        <f ca="1">industrie!C22</f>
        <v>0</v>
      </c>
      <c r="E43" s="690">
        <f>industrie!D22</f>
        <v>10378.209389186341</v>
      </c>
      <c r="F43" s="690">
        <f>industrie!E22</f>
        <v>963.28647150166478</v>
      </c>
      <c r="G43" s="690">
        <f>industrie!F22</f>
        <v>5099.3147961751765</v>
      </c>
      <c r="H43" s="690">
        <f>industrie!G22</f>
        <v>0</v>
      </c>
      <c r="I43" s="690">
        <f>industrie!H22</f>
        <v>0</v>
      </c>
      <c r="J43" s="690">
        <f>industrie!I22</f>
        <v>0</v>
      </c>
      <c r="K43" s="690">
        <f>industrie!J22</f>
        <v>23.476817556764068</v>
      </c>
      <c r="L43" s="690">
        <f>industrie!K22</f>
        <v>0</v>
      </c>
      <c r="M43" s="690">
        <f>industrie!L22</f>
        <v>0</v>
      </c>
      <c r="N43" s="690">
        <f>industrie!M22</f>
        <v>0</v>
      </c>
      <c r="O43" s="690">
        <f>industrie!N22</f>
        <v>0</v>
      </c>
      <c r="P43" s="690">
        <f>industrie!O22</f>
        <v>0</v>
      </c>
      <c r="Q43" s="767">
        <f>industrie!P22</f>
        <v>0</v>
      </c>
      <c r="R43" s="845">
        <f t="shared" ca="1" si="4"/>
        <v>24470.312682062238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31379.098318278637</v>
      </c>
      <c r="D46" s="725">
        <f t="shared" ref="D46:Q46" ca="1" si="5">SUM(D39:D45)</f>
        <v>0</v>
      </c>
      <c r="E46" s="725">
        <f t="shared" ca="1" si="5"/>
        <v>58090.854489684782</v>
      </c>
      <c r="F46" s="725">
        <f t="shared" si="5"/>
        <v>1932.9146987541631</v>
      </c>
      <c r="G46" s="725">
        <f t="shared" ca="1" si="5"/>
        <v>8569.1680966510721</v>
      </c>
      <c r="H46" s="725">
        <f t="shared" si="5"/>
        <v>0</v>
      </c>
      <c r="I46" s="725">
        <f t="shared" si="5"/>
        <v>0</v>
      </c>
      <c r="J46" s="725">
        <f t="shared" si="5"/>
        <v>0</v>
      </c>
      <c r="K46" s="725">
        <f t="shared" si="5"/>
        <v>3367.5767257940643</v>
      </c>
      <c r="L46" s="725">
        <f t="shared" si="5"/>
        <v>0</v>
      </c>
      <c r="M46" s="725">
        <f t="shared" ca="1" si="5"/>
        <v>0</v>
      </c>
      <c r="N46" s="725">
        <f t="shared" si="5"/>
        <v>0</v>
      </c>
      <c r="O46" s="725">
        <f t="shared" ca="1" si="5"/>
        <v>0</v>
      </c>
      <c r="P46" s="725">
        <f t="shared" si="5"/>
        <v>0</v>
      </c>
      <c r="Q46" s="725">
        <f t="shared" si="5"/>
        <v>0</v>
      </c>
      <c r="R46" s="725">
        <f ca="1">SUM(R39:R45)</f>
        <v>103339.61232916272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591.83410206085807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591.83410206085807</v>
      </c>
    </row>
    <row r="50" spans="1:18">
      <c r="A50" s="821" t="s">
        <v>307</v>
      </c>
      <c r="B50" s="831"/>
      <c r="C50" s="696">
        <f ca="1">transport!B18</f>
        <v>1.9807012147085943</v>
      </c>
      <c r="D50" s="696">
        <f>transport!C18</f>
        <v>0</v>
      </c>
      <c r="E50" s="696">
        <f>transport!D18</f>
        <v>3.2820840258030781</v>
      </c>
      <c r="F50" s="696">
        <f>transport!E18</f>
        <v>124.86621579593053</v>
      </c>
      <c r="G50" s="696">
        <f>transport!F18</f>
        <v>0</v>
      </c>
      <c r="H50" s="696">
        <f>transport!G18</f>
        <v>40903.740682269367</v>
      </c>
      <c r="I50" s="696">
        <f>transport!H18</f>
        <v>6176.2200080976281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47210.089691403431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1.9807012147085943</v>
      </c>
      <c r="D52" s="725">
        <f t="shared" ref="D52:Q52" ca="1" si="6">SUM(D48:D51)</f>
        <v>0</v>
      </c>
      <c r="E52" s="725">
        <f t="shared" si="6"/>
        <v>3.2820840258030781</v>
      </c>
      <c r="F52" s="725">
        <f t="shared" si="6"/>
        <v>124.86621579593053</v>
      </c>
      <c r="G52" s="725">
        <f t="shared" si="6"/>
        <v>0</v>
      </c>
      <c r="H52" s="725">
        <f t="shared" si="6"/>
        <v>41495.574784330223</v>
      </c>
      <c r="I52" s="725">
        <f t="shared" si="6"/>
        <v>6176.2200080976281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47801.923793464288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208.83023114592012</v>
      </c>
      <c r="D54" s="696">
        <f ca="1">+landbouw!C12</f>
        <v>0</v>
      </c>
      <c r="E54" s="696">
        <f>+landbouw!D12</f>
        <v>88.368830808610525</v>
      </c>
      <c r="F54" s="696">
        <f>+landbouw!E12</f>
        <v>3.0637845950886864</v>
      </c>
      <c r="G54" s="696">
        <f>+landbouw!F12</f>
        <v>986.68679338628147</v>
      </c>
      <c r="H54" s="696">
        <f>+landbouw!G12</f>
        <v>0</v>
      </c>
      <c r="I54" s="696">
        <f>+landbouw!H12</f>
        <v>0</v>
      </c>
      <c r="J54" s="696">
        <f>+landbouw!I12</f>
        <v>0</v>
      </c>
      <c r="K54" s="696">
        <f>+landbouw!J12</f>
        <v>57.021113850393064</v>
      </c>
      <c r="L54" s="696">
        <f>+landbouw!K12</f>
        <v>0</v>
      </c>
      <c r="M54" s="696">
        <f>+landbouw!L12</f>
        <v>0</v>
      </c>
      <c r="N54" s="696">
        <f>+landbouw!M12</f>
        <v>0</v>
      </c>
      <c r="O54" s="696">
        <f>+landbouw!N12</f>
        <v>0</v>
      </c>
      <c r="P54" s="696">
        <f>+landbouw!O12</f>
        <v>0</v>
      </c>
      <c r="Q54" s="697">
        <f>+landbouw!P12</f>
        <v>0</v>
      </c>
      <c r="R54" s="724">
        <f ca="1">SUM(C54:Q54)</f>
        <v>1343.9707537862939</v>
      </c>
    </row>
    <row r="55" spans="1:18" ht="15" thickBot="1">
      <c r="A55" s="821" t="s">
        <v>872</v>
      </c>
      <c r="B55" s="831"/>
      <c r="C55" s="696">
        <f ca="1">C25*'EF ele_warmte'!B12</f>
        <v>315.28886161583767</v>
      </c>
      <c r="D55" s="696"/>
      <c r="E55" s="696">
        <f>E25*EF_CO2_aardgas</f>
        <v>1236.6688334981636</v>
      </c>
      <c r="F55" s="696"/>
      <c r="G55" s="696"/>
      <c r="H55" s="696"/>
      <c r="I55" s="696"/>
      <c r="J55" s="696"/>
      <c r="K55" s="696"/>
      <c r="L55" s="696"/>
      <c r="M55" s="696"/>
      <c r="N55" s="696"/>
      <c r="O55" s="696"/>
      <c r="P55" s="696"/>
      <c r="Q55" s="697"/>
      <c r="R55" s="724">
        <f ca="1">SUM(C55:Q55)</f>
        <v>1551.9576951140014</v>
      </c>
    </row>
    <row r="56" spans="1:18" ht="15.75" thickBot="1">
      <c r="A56" s="819" t="s">
        <v>873</v>
      </c>
      <c r="B56" s="832"/>
      <c r="C56" s="725">
        <f ca="1">SUM(C54:C55)</f>
        <v>524.11909276175777</v>
      </c>
      <c r="D56" s="725">
        <f t="shared" ref="D56:Q56" ca="1" si="7">SUM(D54:D55)</f>
        <v>0</v>
      </c>
      <c r="E56" s="725">
        <f t="shared" si="7"/>
        <v>1325.0376643067741</v>
      </c>
      <c r="F56" s="725">
        <f t="shared" si="7"/>
        <v>3.0637845950886864</v>
      </c>
      <c r="G56" s="725">
        <f t="shared" si="7"/>
        <v>986.68679338628147</v>
      </c>
      <c r="H56" s="725">
        <f t="shared" si="7"/>
        <v>0</v>
      </c>
      <c r="I56" s="725">
        <f t="shared" si="7"/>
        <v>0</v>
      </c>
      <c r="J56" s="725">
        <f t="shared" si="7"/>
        <v>0</v>
      </c>
      <c r="K56" s="725">
        <f t="shared" si="7"/>
        <v>57.021113850393064</v>
      </c>
      <c r="L56" s="725">
        <f t="shared" si="7"/>
        <v>0</v>
      </c>
      <c r="M56" s="725">
        <f t="shared" si="7"/>
        <v>0</v>
      </c>
      <c r="N56" s="725">
        <f t="shared" si="7"/>
        <v>0</v>
      </c>
      <c r="O56" s="725">
        <f t="shared" si="7"/>
        <v>0</v>
      </c>
      <c r="P56" s="725">
        <f t="shared" si="7"/>
        <v>0</v>
      </c>
      <c r="Q56" s="726">
        <f t="shared" si="7"/>
        <v>0</v>
      </c>
      <c r="R56" s="727">
        <f ca="1">SUM(R54:R55)</f>
        <v>2895.9284489002953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31905.198112255104</v>
      </c>
      <c r="D61" s="733">
        <f t="shared" ref="D61:Q61" ca="1" si="8">D46+D52+D56</f>
        <v>0</v>
      </c>
      <c r="E61" s="733">
        <f t="shared" ca="1" si="8"/>
        <v>59419.17423801736</v>
      </c>
      <c r="F61" s="733">
        <f t="shared" si="8"/>
        <v>2060.8446991451824</v>
      </c>
      <c r="G61" s="733">
        <f t="shared" ca="1" si="8"/>
        <v>9555.8548900373535</v>
      </c>
      <c r="H61" s="733">
        <f t="shared" si="8"/>
        <v>41495.574784330223</v>
      </c>
      <c r="I61" s="733">
        <f t="shared" si="8"/>
        <v>6176.2200080976281</v>
      </c>
      <c r="J61" s="733">
        <f t="shared" si="8"/>
        <v>0</v>
      </c>
      <c r="K61" s="733">
        <f t="shared" si="8"/>
        <v>3424.5978396444575</v>
      </c>
      <c r="L61" s="733">
        <f t="shared" si="8"/>
        <v>0</v>
      </c>
      <c r="M61" s="733">
        <f t="shared" ca="1" si="8"/>
        <v>0</v>
      </c>
      <c r="N61" s="733">
        <f t="shared" si="8"/>
        <v>0</v>
      </c>
      <c r="O61" s="733">
        <f t="shared" ca="1" si="8"/>
        <v>0</v>
      </c>
      <c r="P61" s="733">
        <f t="shared" si="8"/>
        <v>0</v>
      </c>
      <c r="Q61" s="733">
        <f t="shared" si="8"/>
        <v>0</v>
      </c>
      <c r="R61" s="733">
        <f ca="1">R46+R52+R56</f>
        <v>154037.46457152729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0.19497366017358311</v>
      </c>
      <c r="D63" s="776">
        <f t="shared" ca="1" si="9"/>
        <v>0</v>
      </c>
      <c r="E63" s="1011">
        <f t="shared" ca="1" si="9"/>
        <v>0.20200000000000001</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8464.710943</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10806.380999999999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19271.091942999999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8464.710943</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10806.380999999999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19271.091942999999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34027</v>
      </c>
      <c r="C28" s="791">
        <v>8930</v>
      </c>
      <c r="D28" s="644" t="s">
        <v>913</v>
      </c>
      <c r="E28" s="643" t="s">
        <v>914</v>
      </c>
      <c r="F28" s="643" t="s">
        <v>915</v>
      </c>
      <c r="G28" s="643" t="s">
        <v>916</v>
      </c>
      <c r="H28" s="643" t="s">
        <v>917</v>
      </c>
      <c r="I28" s="643" t="s">
        <v>918</v>
      </c>
      <c r="J28" s="790">
        <v>41613</v>
      </c>
      <c r="K28" s="790">
        <v>41613</v>
      </c>
      <c r="L28" s="643" t="s">
        <v>919</v>
      </c>
      <c r="M28" s="643">
        <v>3132</v>
      </c>
      <c r="N28" s="643">
        <v>0</v>
      </c>
      <c r="O28" s="643">
        <v>0</v>
      </c>
      <c r="P28" s="643">
        <v>0</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3132</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3132</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50546.316460240298</v>
      </c>
      <c r="C4" s="462">
        <f>huishoudens!C8</f>
        <v>0</v>
      </c>
      <c r="D4" s="462">
        <f>huishoudens!D8</f>
        <v>172615.23629991847</v>
      </c>
      <c r="E4" s="462">
        <f>huishoudens!E8</f>
        <v>3504.4364397717595</v>
      </c>
      <c r="F4" s="462">
        <f>huishoudens!F8</f>
        <v>0</v>
      </c>
      <c r="G4" s="462">
        <f>huishoudens!G8</f>
        <v>0</v>
      </c>
      <c r="H4" s="462">
        <f>huishoudens!H8</f>
        <v>0</v>
      </c>
      <c r="I4" s="462">
        <f>huishoudens!I8</f>
        <v>0</v>
      </c>
      <c r="J4" s="462">
        <f>huishoudens!J8</f>
        <v>9446.6099102748594</v>
      </c>
      <c r="K4" s="462">
        <f>huishoudens!K8</f>
        <v>0</v>
      </c>
      <c r="L4" s="462">
        <f>huishoudens!L8</f>
        <v>0</v>
      </c>
      <c r="M4" s="462">
        <f>huishoudens!M8</f>
        <v>0</v>
      </c>
      <c r="N4" s="462">
        <f>huishoudens!N8</f>
        <v>20801.639685725557</v>
      </c>
      <c r="O4" s="462">
        <f>huishoudens!O8</f>
        <v>245.44333333333333</v>
      </c>
      <c r="P4" s="463">
        <f>huishoudens!P8</f>
        <v>286</v>
      </c>
      <c r="Q4" s="464">
        <f>SUM(B4:P4)</f>
        <v>257445.68212926429</v>
      </c>
    </row>
    <row r="5" spans="1:17">
      <c r="A5" s="461" t="s">
        <v>156</v>
      </c>
      <c r="B5" s="462">
        <f ca="1">tertiair!B16</f>
        <v>66733.507586635635</v>
      </c>
      <c r="C5" s="462">
        <f ca="1">tertiair!C16</f>
        <v>0</v>
      </c>
      <c r="D5" s="462">
        <f ca="1">tertiair!D16</f>
        <v>63585.977068885681</v>
      </c>
      <c r="E5" s="462">
        <f>tertiair!E16</f>
        <v>767.05354812470944</v>
      </c>
      <c r="F5" s="462">
        <f ca="1">tertiair!F16</f>
        <v>12995.705245228077</v>
      </c>
      <c r="G5" s="462">
        <f>tertiair!G16</f>
        <v>0</v>
      </c>
      <c r="H5" s="462">
        <f>tertiair!H16</f>
        <v>0</v>
      </c>
      <c r="I5" s="462">
        <f>tertiair!I16</f>
        <v>0</v>
      </c>
      <c r="J5" s="462">
        <f>tertiair!J16</f>
        <v>0</v>
      </c>
      <c r="K5" s="462">
        <f>tertiair!K16</f>
        <v>0</v>
      </c>
      <c r="L5" s="462">
        <f ca="1">tertiair!L16</f>
        <v>0</v>
      </c>
      <c r="M5" s="462">
        <f>tertiair!M16</f>
        <v>0</v>
      </c>
      <c r="N5" s="462">
        <f ca="1">tertiair!N16</f>
        <v>5477.8122019222719</v>
      </c>
      <c r="O5" s="462">
        <f>tertiair!O16</f>
        <v>4.6900000000000004</v>
      </c>
      <c r="P5" s="463">
        <f>tertiair!P16</f>
        <v>38.133333333333333</v>
      </c>
      <c r="Q5" s="461">
        <f t="shared" ref="Q5:Q14" ca="1" si="0">SUM(B5:P5)</f>
        <v>149602.8789841297</v>
      </c>
    </row>
    <row r="6" spans="1:17">
      <c r="A6" s="461" t="s">
        <v>194</v>
      </c>
      <c r="B6" s="462">
        <f>'openbare verlichting'!B8</f>
        <v>2598.2820000000002</v>
      </c>
      <c r="C6" s="462"/>
      <c r="D6" s="462"/>
      <c r="E6" s="462"/>
      <c r="F6" s="462"/>
      <c r="G6" s="462"/>
      <c r="H6" s="462"/>
      <c r="I6" s="462"/>
      <c r="J6" s="462"/>
      <c r="K6" s="462"/>
      <c r="L6" s="462"/>
      <c r="M6" s="462"/>
      <c r="N6" s="462"/>
      <c r="O6" s="462"/>
      <c r="P6" s="463"/>
      <c r="Q6" s="461">
        <f t="shared" si="0"/>
        <v>2598.2820000000002</v>
      </c>
    </row>
    <row r="7" spans="1:17">
      <c r="A7" s="461" t="s">
        <v>112</v>
      </c>
      <c r="B7" s="462">
        <f>landbouw!B8</f>
        <v>1071.0689380298891</v>
      </c>
      <c r="C7" s="462">
        <f>landbouw!C8</f>
        <v>0</v>
      </c>
      <c r="D7" s="462">
        <f>landbouw!D8</f>
        <v>437.46945944856691</v>
      </c>
      <c r="E7" s="462">
        <f>landbouw!E8</f>
        <v>13.496848436514037</v>
      </c>
      <c r="F7" s="462">
        <f>landbouw!F8</f>
        <v>3695.4561550047993</v>
      </c>
      <c r="G7" s="462">
        <f>landbouw!G8</f>
        <v>0</v>
      </c>
      <c r="H7" s="462">
        <f>landbouw!H8</f>
        <v>0</v>
      </c>
      <c r="I7" s="462">
        <f>landbouw!I8</f>
        <v>0</v>
      </c>
      <c r="J7" s="462">
        <f>landbouw!J8</f>
        <v>161.07659279772054</v>
      </c>
      <c r="K7" s="462">
        <f>landbouw!K8</f>
        <v>0</v>
      </c>
      <c r="L7" s="462">
        <f>landbouw!L8</f>
        <v>0</v>
      </c>
      <c r="M7" s="462">
        <f>landbouw!M8</f>
        <v>0</v>
      </c>
      <c r="N7" s="462">
        <f>landbouw!N8</f>
        <v>0</v>
      </c>
      <c r="O7" s="462">
        <f>landbouw!O8</f>
        <v>0</v>
      </c>
      <c r="P7" s="463">
        <f>landbouw!P8</f>
        <v>0</v>
      </c>
      <c r="Q7" s="461">
        <f t="shared" si="0"/>
        <v>5378.56799371749</v>
      </c>
    </row>
    <row r="8" spans="1:17">
      <c r="A8" s="461" t="s">
        <v>657</v>
      </c>
      <c r="B8" s="462">
        <f>industrie!B18</f>
        <v>41062.086030054561</v>
      </c>
      <c r="C8" s="462">
        <f>industrie!C18</f>
        <v>0</v>
      </c>
      <c r="D8" s="462">
        <f>industrie!D18</f>
        <v>51377.274203892775</v>
      </c>
      <c r="E8" s="462">
        <f>industrie!E18</f>
        <v>4243.5527378927964</v>
      </c>
      <c r="F8" s="462">
        <f>industrie!F18</f>
        <v>19098.557289045602</v>
      </c>
      <c r="G8" s="462">
        <f>industrie!G18</f>
        <v>0</v>
      </c>
      <c r="H8" s="462">
        <f>industrie!H18</f>
        <v>0</v>
      </c>
      <c r="I8" s="462">
        <f>industrie!I18</f>
        <v>0</v>
      </c>
      <c r="J8" s="462">
        <f>industrie!J18</f>
        <v>66.318693663175338</v>
      </c>
      <c r="K8" s="462">
        <f>industrie!K18</f>
        <v>0</v>
      </c>
      <c r="L8" s="462">
        <f>industrie!L18</f>
        <v>0</v>
      </c>
      <c r="M8" s="462">
        <f>industrie!M18</f>
        <v>0</v>
      </c>
      <c r="N8" s="462">
        <f>industrie!N18</f>
        <v>9358.7487156219795</v>
      </c>
      <c r="O8" s="462">
        <f>industrie!O18</f>
        <v>0</v>
      </c>
      <c r="P8" s="463">
        <f>industrie!P18</f>
        <v>0</v>
      </c>
      <c r="Q8" s="461">
        <f t="shared" si="0"/>
        <v>125206.53767017089</v>
      </c>
    </row>
    <row r="9" spans="1:17" s="467" customFormat="1">
      <c r="A9" s="465" t="s">
        <v>574</v>
      </c>
      <c r="B9" s="466">
        <f>transport!B14</f>
        <v>10.1588143390507</v>
      </c>
      <c r="C9" s="466">
        <f>transport!C14</f>
        <v>0</v>
      </c>
      <c r="D9" s="466">
        <f>transport!D14</f>
        <v>16.247940721797416</v>
      </c>
      <c r="E9" s="466">
        <f>transport!E14</f>
        <v>550.07143522436354</v>
      </c>
      <c r="F9" s="466">
        <f>transport!F14</f>
        <v>0</v>
      </c>
      <c r="G9" s="466">
        <f>transport!G14</f>
        <v>153197.5306452036</v>
      </c>
      <c r="H9" s="466">
        <f>transport!H14</f>
        <v>24804.096418062763</v>
      </c>
      <c r="I9" s="466">
        <f>transport!I14</f>
        <v>0</v>
      </c>
      <c r="J9" s="466">
        <f>transport!J14</f>
        <v>0</v>
      </c>
      <c r="K9" s="466">
        <f>transport!K14</f>
        <v>0</v>
      </c>
      <c r="L9" s="466">
        <f>transport!L14</f>
        <v>0</v>
      </c>
      <c r="M9" s="466">
        <f>transport!M14</f>
        <v>8045.3221499123429</v>
      </c>
      <c r="N9" s="466">
        <f>transport!N14</f>
        <v>0</v>
      </c>
      <c r="O9" s="466">
        <f>transport!O14</f>
        <v>0</v>
      </c>
      <c r="P9" s="466">
        <f>transport!P14</f>
        <v>0</v>
      </c>
      <c r="Q9" s="465">
        <f>SUM(B9:P9)</f>
        <v>186623.42740346389</v>
      </c>
    </row>
    <row r="10" spans="1:17">
      <c r="A10" s="461" t="s">
        <v>564</v>
      </c>
      <c r="B10" s="462">
        <f>transport!B54</f>
        <v>0</v>
      </c>
      <c r="C10" s="462">
        <f>transport!C54</f>
        <v>0</v>
      </c>
      <c r="D10" s="462">
        <f>transport!D54</f>
        <v>0</v>
      </c>
      <c r="E10" s="462">
        <f>transport!E54</f>
        <v>0</v>
      </c>
      <c r="F10" s="462">
        <f>transport!F54</f>
        <v>0</v>
      </c>
      <c r="G10" s="462">
        <f>transport!G54</f>
        <v>2216.6071238234385</v>
      </c>
      <c r="H10" s="462">
        <f>transport!H54</f>
        <v>0</v>
      </c>
      <c r="I10" s="462">
        <f>transport!I54</f>
        <v>0</v>
      </c>
      <c r="J10" s="462">
        <f>transport!J54</f>
        <v>0</v>
      </c>
      <c r="K10" s="462">
        <f>transport!K54</f>
        <v>0</v>
      </c>
      <c r="L10" s="462">
        <f>transport!L54</f>
        <v>0</v>
      </c>
      <c r="M10" s="462">
        <f>transport!M54</f>
        <v>98.577940432096895</v>
      </c>
      <c r="N10" s="462">
        <f>transport!N54</f>
        <v>0</v>
      </c>
      <c r="O10" s="462">
        <f>transport!O54</f>
        <v>0</v>
      </c>
      <c r="P10" s="463">
        <f>transport!P54</f>
        <v>0</v>
      </c>
      <c r="Q10" s="461">
        <f t="shared" si="0"/>
        <v>2315.1850642555355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1617.08438634808</v>
      </c>
      <c r="C14" s="469"/>
      <c r="D14" s="469">
        <f>'SEAP template'!E25</f>
        <v>6122.1229381097201</v>
      </c>
      <c r="E14" s="469"/>
      <c r="F14" s="469"/>
      <c r="G14" s="469"/>
      <c r="H14" s="469"/>
      <c r="I14" s="469"/>
      <c r="J14" s="469"/>
      <c r="K14" s="469"/>
      <c r="L14" s="469"/>
      <c r="M14" s="469"/>
      <c r="N14" s="469"/>
      <c r="O14" s="469"/>
      <c r="P14" s="470"/>
      <c r="Q14" s="461">
        <f t="shared" si="0"/>
        <v>7739.2073244578005</v>
      </c>
    </row>
    <row r="15" spans="1:17" s="474" customFormat="1">
      <c r="A15" s="471" t="s">
        <v>568</v>
      </c>
      <c r="B15" s="472">
        <f ca="1">SUM(B4:B14)</f>
        <v>163638.50421564752</v>
      </c>
      <c r="C15" s="472">
        <f t="shared" ref="C15:Q15" ca="1" si="1">SUM(C4:C14)</f>
        <v>0</v>
      </c>
      <c r="D15" s="472">
        <f t="shared" ca="1" si="1"/>
        <v>294154.32791097701</v>
      </c>
      <c r="E15" s="472">
        <f t="shared" si="1"/>
        <v>9078.6110094501419</v>
      </c>
      <c r="F15" s="472">
        <f t="shared" ca="1" si="1"/>
        <v>35789.718689278481</v>
      </c>
      <c r="G15" s="472">
        <f t="shared" si="1"/>
        <v>155414.13776902703</v>
      </c>
      <c r="H15" s="472">
        <f t="shared" si="1"/>
        <v>24804.096418062763</v>
      </c>
      <c r="I15" s="472">
        <f t="shared" si="1"/>
        <v>0</v>
      </c>
      <c r="J15" s="472">
        <f t="shared" si="1"/>
        <v>9674.0051967357558</v>
      </c>
      <c r="K15" s="472">
        <f t="shared" si="1"/>
        <v>0</v>
      </c>
      <c r="L15" s="472">
        <f t="shared" ca="1" si="1"/>
        <v>0</v>
      </c>
      <c r="M15" s="472">
        <f t="shared" si="1"/>
        <v>8143.9000903444394</v>
      </c>
      <c r="N15" s="472">
        <f t="shared" ca="1" si="1"/>
        <v>35638.200603269812</v>
      </c>
      <c r="O15" s="472">
        <f t="shared" si="1"/>
        <v>250.13333333333333</v>
      </c>
      <c r="P15" s="472">
        <f t="shared" si="1"/>
        <v>324.13333333333333</v>
      </c>
      <c r="Q15" s="472">
        <f t="shared" ca="1" si="1"/>
        <v>736909.76856945956</v>
      </c>
    </row>
    <row r="17" spans="1:17">
      <c r="A17" s="475" t="s">
        <v>569</v>
      </c>
      <c r="B17" s="781">
        <f ca="1">huishoudens!B10</f>
        <v>0.19497366017358309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9855.2003285452811</v>
      </c>
      <c r="C22" s="462">
        <f t="shared" ref="C22:C32" ca="1" si="3">C4*$C$17</f>
        <v>0</v>
      </c>
      <c r="D22" s="462">
        <f t="shared" ref="D22:D32" si="4">D4*$D$17</f>
        <v>34868.277732583534</v>
      </c>
      <c r="E22" s="462">
        <f t="shared" ref="E22:E32" si="5">E4*$E$17</f>
        <v>795.5070718281894</v>
      </c>
      <c r="F22" s="462">
        <f t="shared" ref="F22:F32" si="6">F4*$F$17</f>
        <v>0</v>
      </c>
      <c r="G22" s="462">
        <f t="shared" ref="G22:G32" si="7">G4*$G$17</f>
        <v>0</v>
      </c>
      <c r="H22" s="462">
        <f t="shared" ref="H22:H32" si="8">H4*$H$17</f>
        <v>0</v>
      </c>
      <c r="I22" s="462">
        <f t="shared" ref="I22:I32" si="9">I4*$I$17</f>
        <v>0</v>
      </c>
      <c r="J22" s="462">
        <f t="shared" ref="J22:J32" si="10">J4*$J$17</f>
        <v>3344.0999082373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48863.085041194303</v>
      </c>
    </row>
    <row r="23" spans="1:17">
      <c r="A23" s="461" t="s">
        <v>156</v>
      </c>
      <c r="B23" s="462">
        <f t="shared" ca="1" si="2"/>
        <v>13011.276230387924</v>
      </c>
      <c r="C23" s="462">
        <f t="shared" ca="1" si="3"/>
        <v>0</v>
      </c>
      <c r="D23" s="462">
        <f t="shared" ca="1" si="4"/>
        <v>12844.367367914909</v>
      </c>
      <c r="E23" s="462">
        <f t="shared" si="5"/>
        <v>174.12115542430905</v>
      </c>
      <c r="F23" s="462">
        <f t="shared" ca="1" si="6"/>
        <v>3469.8533004758965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29499.618054203042</v>
      </c>
    </row>
    <row r="24" spans="1:17">
      <c r="A24" s="461" t="s">
        <v>194</v>
      </c>
      <c r="B24" s="462">
        <f t="shared" ca="1" si="2"/>
        <v>506.59655170313783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506.59655170313783</v>
      </c>
    </row>
    <row r="25" spans="1:17">
      <c r="A25" s="461" t="s">
        <v>112</v>
      </c>
      <c r="B25" s="462">
        <f t="shared" ca="1" si="2"/>
        <v>208.83023114592012</v>
      </c>
      <c r="C25" s="462">
        <f t="shared" ca="1" si="3"/>
        <v>0</v>
      </c>
      <c r="D25" s="462">
        <f t="shared" si="4"/>
        <v>88.368830808610525</v>
      </c>
      <c r="E25" s="462">
        <f t="shared" si="5"/>
        <v>3.0637845950886864</v>
      </c>
      <c r="F25" s="462">
        <f t="shared" si="6"/>
        <v>986.68679338628147</v>
      </c>
      <c r="G25" s="462">
        <f t="shared" si="7"/>
        <v>0</v>
      </c>
      <c r="H25" s="462">
        <f t="shared" si="8"/>
        <v>0</v>
      </c>
      <c r="I25" s="462">
        <f t="shared" si="9"/>
        <v>0</v>
      </c>
      <c r="J25" s="462">
        <f t="shared" si="10"/>
        <v>57.021113850393064</v>
      </c>
      <c r="K25" s="462">
        <f t="shared" si="11"/>
        <v>0</v>
      </c>
      <c r="L25" s="462">
        <f t="shared" si="12"/>
        <v>0</v>
      </c>
      <c r="M25" s="462">
        <f t="shared" si="13"/>
        <v>0</v>
      </c>
      <c r="N25" s="462">
        <f t="shared" si="14"/>
        <v>0</v>
      </c>
      <c r="O25" s="462">
        <f t="shared" si="15"/>
        <v>0</v>
      </c>
      <c r="P25" s="463">
        <f t="shared" si="16"/>
        <v>0</v>
      </c>
      <c r="Q25" s="461">
        <f t="shared" ca="1" si="17"/>
        <v>1343.9707537862939</v>
      </c>
    </row>
    <row r="26" spans="1:17">
      <c r="A26" s="461" t="s">
        <v>657</v>
      </c>
      <c r="B26" s="462">
        <f t="shared" ca="1" si="2"/>
        <v>8006.0252076422912</v>
      </c>
      <c r="C26" s="462">
        <f t="shared" ca="1" si="3"/>
        <v>0</v>
      </c>
      <c r="D26" s="462">
        <f t="shared" si="4"/>
        <v>10378.209389186341</v>
      </c>
      <c r="E26" s="462">
        <f t="shared" si="5"/>
        <v>963.28647150166478</v>
      </c>
      <c r="F26" s="462">
        <f t="shared" si="6"/>
        <v>5099.3147961751765</v>
      </c>
      <c r="G26" s="462">
        <f t="shared" si="7"/>
        <v>0</v>
      </c>
      <c r="H26" s="462">
        <f t="shared" si="8"/>
        <v>0</v>
      </c>
      <c r="I26" s="462">
        <f t="shared" si="9"/>
        <v>0</v>
      </c>
      <c r="J26" s="462">
        <f t="shared" si="10"/>
        <v>23.476817556764068</v>
      </c>
      <c r="K26" s="462">
        <f t="shared" si="11"/>
        <v>0</v>
      </c>
      <c r="L26" s="462">
        <f t="shared" si="12"/>
        <v>0</v>
      </c>
      <c r="M26" s="462">
        <f t="shared" si="13"/>
        <v>0</v>
      </c>
      <c r="N26" s="462">
        <f t="shared" si="14"/>
        <v>0</v>
      </c>
      <c r="O26" s="462">
        <f t="shared" si="15"/>
        <v>0</v>
      </c>
      <c r="P26" s="463">
        <f t="shared" si="16"/>
        <v>0</v>
      </c>
      <c r="Q26" s="461">
        <f t="shared" ca="1" si="17"/>
        <v>24470.312682062238</v>
      </c>
    </row>
    <row r="27" spans="1:17" s="467" customFormat="1">
      <c r="A27" s="465" t="s">
        <v>574</v>
      </c>
      <c r="B27" s="775">
        <f t="shared" ca="1" si="2"/>
        <v>1.9807012147085943</v>
      </c>
      <c r="C27" s="466">
        <f t="shared" ca="1" si="3"/>
        <v>0</v>
      </c>
      <c r="D27" s="466">
        <f t="shared" si="4"/>
        <v>3.2820840258030781</v>
      </c>
      <c r="E27" s="466">
        <f t="shared" si="5"/>
        <v>124.86621579593053</v>
      </c>
      <c r="F27" s="466">
        <f t="shared" si="6"/>
        <v>0</v>
      </c>
      <c r="G27" s="466">
        <f t="shared" si="7"/>
        <v>40903.740682269367</v>
      </c>
      <c r="H27" s="466">
        <f t="shared" si="8"/>
        <v>6176.2200080976281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47210.089691403431</v>
      </c>
    </row>
    <row r="28" spans="1:17">
      <c r="A28" s="461" t="s">
        <v>564</v>
      </c>
      <c r="B28" s="462">
        <f t="shared" ca="1" si="2"/>
        <v>0</v>
      </c>
      <c r="C28" s="462">
        <f t="shared" ca="1" si="3"/>
        <v>0</v>
      </c>
      <c r="D28" s="462">
        <f t="shared" si="4"/>
        <v>0</v>
      </c>
      <c r="E28" s="462">
        <f t="shared" si="5"/>
        <v>0</v>
      </c>
      <c r="F28" s="462">
        <f t="shared" si="6"/>
        <v>0</v>
      </c>
      <c r="G28" s="462">
        <f t="shared" si="7"/>
        <v>591.83410206085807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591.83410206085807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315.28886161583767</v>
      </c>
      <c r="C32" s="462">
        <f t="shared" ca="1" si="3"/>
        <v>0</v>
      </c>
      <c r="D32" s="462">
        <f t="shared" si="4"/>
        <v>1236.6688334981636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1551.9576951140014</v>
      </c>
    </row>
    <row r="33" spans="1:17" s="474" customFormat="1">
      <c r="A33" s="471" t="s">
        <v>568</v>
      </c>
      <c r="B33" s="472">
        <f ca="1">SUM(B22:B32)</f>
        <v>31905.198112255101</v>
      </c>
      <c r="C33" s="472">
        <f t="shared" ref="C33:Q33" ca="1" si="18">SUM(C22:C32)</f>
        <v>0</v>
      </c>
      <c r="D33" s="472">
        <f t="shared" ca="1" si="18"/>
        <v>59419.174238017367</v>
      </c>
      <c r="E33" s="472">
        <f t="shared" si="18"/>
        <v>2060.8446991451824</v>
      </c>
      <c r="F33" s="472">
        <f t="shared" ca="1" si="18"/>
        <v>9555.8548900373535</v>
      </c>
      <c r="G33" s="472">
        <f t="shared" si="18"/>
        <v>41495.574784330223</v>
      </c>
      <c r="H33" s="472">
        <f t="shared" si="18"/>
        <v>6176.2200080976281</v>
      </c>
      <c r="I33" s="472">
        <f t="shared" si="18"/>
        <v>0</v>
      </c>
      <c r="J33" s="472">
        <f t="shared" si="18"/>
        <v>3424.5978396444575</v>
      </c>
      <c r="K33" s="472">
        <f t="shared" si="18"/>
        <v>0</v>
      </c>
      <c r="L33" s="472">
        <f t="shared" ca="1" si="18"/>
        <v>0</v>
      </c>
      <c r="M33" s="472">
        <f t="shared" si="18"/>
        <v>0</v>
      </c>
      <c r="N33" s="472">
        <f t="shared" ca="1" si="18"/>
        <v>0</v>
      </c>
      <c r="O33" s="472">
        <f t="shared" si="18"/>
        <v>0</v>
      </c>
      <c r="P33" s="472">
        <f t="shared" si="18"/>
        <v>0</v>
      </c>
      <c r="Q33" s="472">
        <f t="shared" ca="1" si="18"/>
        <v>154037.46457152729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8464.710943</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10806.380999999999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19271.091942999999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0.19497366017358309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0.19497366017358309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2019-08-12T08:03:01Z</dcterms:modified>
</cp:coreProperties>
</file>