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B10" s="1"/>
  <c r="I102" l="1"/>
  <c r="H17" s="1"/>
  <c r="H20" s="1"/>
  <c r="B102"/>
  <c r="C17" s="1"/>
  <c r="C102"/>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<sst xmlns="http://schemas.openxmlformats.org/spreadsheetml/2006/main" count="2432" uniqueCount="913">
  <si>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</si>
  <si>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</si>
  <si>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</si>
  <si>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</si>
  <si>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</si>
  <si>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</si>
  <si>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</si>
  <si>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</si>
  <si>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</si>
  <si>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</si>
  <si>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</si>
  <si>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</si>
  <si>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</si>
  <si>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</si>
  <si>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</si>
  <si>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</si>
  <si>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</si>
  <si>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</si>
  <si>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</si>
  <si>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</si>
  <si>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</si>
  <si>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</si>
  <si>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</si>
  <si>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</si>
  <si>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</si>
  <si>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</si>
  <si>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</si>
  <si>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</si>
  <si>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</si>
  <si>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</si>
  <si>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</si>
  <si>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</si>
  <si>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</si>
  <si>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</si>
  <si>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</si>
  <si>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</si>
  <si>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</si>
  <si>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</si>
  <si>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</si>
  <si>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</si>
  <si>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</si>
  <si>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</si>
  <si>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</si>
  <si>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</si>
  <si>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</si>
  <si>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</si>
  <si>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</si>
  <si>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</si>
  <si>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</si>
  <si>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</si>
  <si>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</si>
  <si>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</si>
  <si>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</si>
  <si>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</si>
  <si>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</si>
  <si>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</si>
  <si>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</si>
  <si>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</si>
  <si>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</si>
  <si>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</si>
  <si>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</si>
  <si>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</si>
  <si>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</si>
  <si>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</si>
  <si>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</si>
  <si>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</si>
  <si>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</si>
  <si>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</si>
  <si>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</si>
  <si>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</si>
  <si>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</si>
  <si>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</si>
  <si>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</si>
  <si>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</si>
  <si>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</si>
  <si>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</si>
  <si>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</si>
  <si>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</si>
  <si>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</si>
  <si>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</si>
  <si>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</si>
  <si>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</si>
  <si>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</si>
  <si>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</si>
  <si>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</si>
  <si>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</si>
  <si>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</si>
  <si>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</si>
  <si>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</si>
  <si>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</si>
  <si>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</si>
  <si>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</si>
  <si>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</si>
  <si>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</si>
  <si>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</si>
  <si>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</si>
  <si>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</si>
  <si>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</si>
  <si>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</si>
  <si>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</si>
  <si>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</si>
  <si>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</si>
  <si>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</si>
  <si>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</si>
  <si>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</si>
  <si>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</si>
  <si>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</si>
  <si>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</si>
  <si>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</si>
  <si>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</si>
  <si>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</si>
  <si>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</si>
  <si>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</si>
  <si>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</si>
  <si>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</si>
  <si>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</si>
  <si>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</si>
  <si>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</si>
  <si>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</si>
  <si>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</si>
  <si>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</si>
  <si>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</si>
  <si>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</si>
  <si>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</si>
  <si>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</si>
  <si>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</si>
  <si>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</si>
  <si>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</si>
  <si>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</si>
  <si>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</si>
  <si>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</si>
  <si>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</si>
  <si>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</si>
  <si>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</si>
  <si>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</si>
  <si>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</si>
  <si>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</si>
  <si>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</si>
  <si>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</si>
  <si>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</si>
  <si>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</si>
  <si>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</si>
  <si>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</si>
  <si>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</si>
  <si>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</si>
  <si>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</si>
  <si>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</si>
  <si>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</si>
  <si>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</si>
  <si>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</si>
  <si>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</si>
  <si>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</si>
  <si>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</si>
  <si>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</si>
  <si>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</si>
  <si>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</si>
  <si>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</si>
  <si>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</si>
  <si>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</si>
  <si>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</si>
  <si>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</si>
  <si>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</si>
  <si>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</si>
  <si>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</si>
  <si>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</si>
  <si>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</si>
  <si>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</si>
  <si>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</si>
  <si>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</si>
  <si>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</si>
  <si>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</si>
  <si>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</si>
  <si>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</si>
  <si>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</si>
  <si>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</si>
  <si>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</si>
  <si>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</si>
  <si>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</si>
  <si>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</si>
  <si>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</si>
  <si>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</si>
  <si>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</si>
  <si>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</si>
  <si>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</si>
  <si>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</si>
  <si>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</si>
  <si>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</si>
  <si>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</si>
  <si>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</si>
  <si>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</si>
  <si>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</si>
  <si>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</si>
  <si>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</si>
  <si>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</si>
  <si>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</si>
  <si>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</si>
  <si>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</si>
  <si>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</si>
  <si>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</si>
  <si>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</si>
  <si>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</si>
  <si>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</si>
  <si>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</si>
  <si>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</si>
  <si>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</si>
  <si>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</si>
  <si>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</si>
  <si>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</si>
  <si>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</si>
  <si>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</si>
  <si>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</si>
  <si>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</si>
  <si>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</si>
  <si>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</si>
  <si>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</si>
  <si>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</si>
  <si>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</si>
  <si>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</si>
  <si>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</si>
  <si>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</si>
  <si>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</si>
  <si>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</si>
  <si>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</si>
  <si>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</si>
  <si>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</si>
  <si>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</si>
  <si>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</si>
  <si>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</si>
  <si>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</si>
  <si>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</si>
  <si>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</si>
  <si>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</si>
  <si>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</si>
  <si>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</si>
  <si>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</si>
  <si>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</si>
  <si>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</si>
  <si>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</si>
  <si>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</si>
  <si>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</si>
  <si>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</si>
  <si>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</si>
  <si>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</si>
  <si>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</si>
  <si>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</si>
  <si>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</si>
  <si>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</si>
  <si>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</si>
  <si>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</si>
  <si>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</si>
  <si>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</si>
  <si>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</si>
  <si>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</si>
  <si>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</si>
  <si>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</si>
  <si>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</si>
  <si>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</si>
  <si>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</si>
  <si>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</si>
  <si>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</si>
  <si>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</si>
  <si>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</si>
  <si>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</si>
  <si>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</si>
  <si>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</si>
  <si>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</si>
  <si>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</si>
  <si>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</si>
  <si>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</si>
  <si>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</si>
  <si>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</si>
  <si>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</si>
  <si>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</si>
  <si>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</si>
  <si>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</si>
  <si>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</si>
  <si>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</si>
  <si>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</si>
  <si>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</si>
  <si>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</si>
  <si>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</si>
  <si>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</si>
  <si>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</si>
  <si>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</si>
  <si>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</si>
  <si>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</si>
  <si>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</si>
  <si>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</si>
  <si>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</si>
  <si>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</si>
  <si>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</si>
  <si>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</si>
  <si>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</si>
  <si>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</si>
  <si>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</si>
  <si>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</si>
  <si>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</si>
  <si>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</si>
  <si>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</si>
  <si>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</si>
  <si>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</si>
  <si>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</si>
  <si>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</si>
  <si>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</si>
  <si>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</si>
  <si>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</si>
  <si>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</si>
  <si>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</si>
  <si>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</si>
  <si>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</si>
  <si>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</si>
  <si>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</si>
  <si>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</si>
  <si>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</si>
  <si>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</si>
  <si>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</si>
  <si>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</si>
  <si>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</si>
  <si>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</si>
  <si>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</si>
  <si>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</si>
  <si>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</si>
  <si>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</si>
  <si>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</si>
  <si>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</si>
  <si>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</si>
  <si>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</si>
  <si>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</si>
  <si>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</si>
  <si>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</si>
  <si>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</si>
  <si>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</si>
  <si>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</si>
  <si>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</si>
  <si>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</si>
  <si>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</si>
  <si>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</si>
  <si>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</si>
  <si>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</si>
  <si>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</si>
  <si>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</si>
  <si>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</si>
  <si>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</si>
  <si>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</si>
  <si>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</si>
  <si>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</si>
  <si>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</si>
  <si>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</si>
  <si>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</si>
  <si>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</si>
  <si>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</si>
  <si>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</si>
  <si>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</si>
  <si>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</si>
  <si>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</si>
  <si>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</si>
  <si>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</si>
  <si>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</si>
  <si>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</si>
  <si>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</si>
  <si>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</si>
  <si>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</si>
  <si>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</si>
  <si>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</si>
  <si>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</si>
  <si>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</si>
  <si>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</si>
  <si>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</si>
  <si>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</si>
  <si>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</si>
  <si>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</si>
  <si>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</si>
  <si>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</si>
  <si>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</si>
  <si>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</si>
  <si>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</si>
  <si>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</si>
  <si>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</si>
  <si>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</si>
  <si>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</si>
  <si>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</si>
  <si>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</si>
  <si>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</si>
  <si>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</si>
  <si>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</si>
  <si>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</si>
  <si>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</si>
  <si>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</si>
  <si>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</si>
  <si>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</si>
  <si>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</si>
  <si>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</si>
  <si>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</si>
  <si>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</si>
  <si>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</si>
  <si>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</si>
  <si>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</si>
  <si>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</si>
  <si>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</si>
  <si>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</si>
  <si>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</si>
  <si>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</si>
  <si>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</si>
  <si>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</si>
  <si>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</si>
  <si>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</si>
  <si>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</si>
  <si>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</si>
  <si>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</si>
  <si>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</si>
  <si>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</si>
  <si>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</si>
  <si>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</si>
  <si>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</si>
  <si>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</si>
  <si>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</si>
  <si>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</si>
  <si>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</si>
  <si>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</si>
  <si>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</si>
  <si>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</si>
  <si>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</si>
  <si>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</si>
  <si>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</si>
  <si>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</si>
  <si>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</si>
  <si>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</si>
  <si>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</si>
  <si>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</si>
  <si>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</si>
  <si>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</si>
  <si>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</si>
  <si>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</si>
  <si>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</si>
  <si>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</si>
  <si>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</si>
  <si>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</si>
  <si>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</si>
  <si>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</si>
  <si>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</si>
  <si>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</si>
  <si>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</si>
  <si>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</si>
  <si>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</si>
  <si>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</si>
  <si>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</si>
  <si>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</si>
  <si>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</si>
  <si>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</si>
  <si>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</si>
  <si>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</si>
  <si>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</si>
  <si>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</si>
  <si>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</si>
  <si>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</si>
  <si>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</si>
  <si>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</si>
  <si>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</si>
  <si>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</si>
  <si>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</si>
  <si>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</si>
  <si>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</si>
  <si>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</si>
  <si>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</si>
  <si>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</si>
  <si>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</si>
  <si>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</si>
  <si>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</si>
  <si>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</si>
  <si>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</si>
  <si>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</si>
  <si>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</si>
  <si>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</si>
  <si>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</si>
  <si>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</si>
  <si>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</si>
  <si>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</si>
  <si>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</si>
  <si>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</si>
  <si>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</si>
  <si>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</si>
  <si>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</si>
  <si>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</si>
  <si>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</si>
  <si>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</si>
  <si>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</si>
  <si>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</si>
  <si>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</si>
  <si>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</si>
  <si>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</si>
  <si>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</si>
  <si>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</si>
  <si>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</si>
  <si>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</si>
  <si>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</si>
  <si>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</si>
  <si>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</si>
  <si>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</si>
  <si>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</si>
  <si>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</si>
  <si>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</si>
  <si>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</si>
  <si>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</si>
  <si>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</si>
  <si>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</si>
  <si>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</si>
  <si>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</si>
  <si>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</si>
  <si>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</si>
  <si>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</si>
  <si>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</si>
  <si>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</si>
  <si>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</si>
  <si>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</si>
  <si>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</si>
  <si>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</si>
  <si>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</si>
  <si>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</si>
  <si>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</si>
  <si>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</si>
  <si>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</si>
  <si>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</si>
  <si>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</si>
  <si>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</si>
  <si>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</si>
  <si>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</si>
  <si>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</si>
  <si>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</si>
  <si>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</si>
  <si>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</si>
  <si>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</si>
  <si>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</si>
  <si>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</si>
  <si>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</si>
  <si>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</si>
  <si>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</si>
  <si>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</si>
  <si>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</si>
  <si>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</si>
  <si>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</si>
  <si>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</si>
  <si>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</si>
  <si>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</si>
  <si>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</si>
  <si>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</si>
  <si>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</si>
  <si>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</si>
  <si>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</si>
  <si>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</si>
  <si>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</si>
  <si>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</si>
  <si>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</si>
  <si>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</si>
  <si>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</si>
  <si>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</si>
  <si>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</si>
  <si>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</si>
  <si>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</si>
  <si>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</si>
  <si>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</si>
  <si>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</si>
  <si>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</si>
  <si>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</si>
  <si>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</si>
  <si>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</si>
  <si>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</si>
  <si>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</si>
  <si>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</si>
  <si>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</si>
  <si>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</si>
  <si>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</si>
  <si>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</si>
  <si>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</si>
  <si>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</si>
  <si>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</si>
  <si>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</si>
  <si>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</si>
  <si>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</si>
  <si>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</si>
  <si>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</si>
  <si>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</si>
  <si>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</si>
  <si>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</si>
  <si>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</si>
  <si>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</si>
  <si>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</si>
  <si>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</si>
  <si>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</si>
  <si>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</si>
  <si>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</si>
  <si>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</si>
  <si>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</si>
  <si>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</si>
  <si>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</si>
  <si>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</si>
  <si>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</si>
  <si>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</si>
  <si>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</si>
  <si>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</si>
  <si>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</si>
  <si>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</si>
  <si>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</si>
  <si>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</si>
  <si>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</si>
  <si>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</si>
  <si>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</si>
  <si>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</si>
  <si>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</si>
  <si>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</si>
  <si>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</si>
  <si>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</si>
  <si>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</si>
  <si>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</si>
  <si>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</si>
  <si>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</si>
  <si>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</si>
  <si>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</si>
  <si>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</si>
  <si>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</si>
  <si>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</si>
  <si>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</si>
  <si>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</si>
  <si>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</si>
  <si>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</si>
  <si>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</si>
  <si>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</si>
  <si>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</si>
  <si>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</si>
  <si>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</si>
  <si>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</si>
  <si>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</si>
  <si>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</si>
  <si>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</si>
  <si>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</si>
  <si>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</si>
  <si>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</si>
  <si>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</si>
  <si>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</si>
  <si>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</si>
  <si>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</si>
  <si>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</si>
  <si>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</si>
  <si>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</si>
  <si>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</si>
  <si>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</si>
  <si>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</si>
  <si>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</si>
  <si>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</si>
  <si>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</si>
  <si>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</si>
  <si>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</si>
  <si>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</si>
  <si>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</si>
  <si>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</si>
  <si>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</si>
  <si>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</si>
  <si>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</si>
  <si>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</si>
  <si>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</si>
  <si>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</si>
  <si>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</si>
  <si>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</si>
  <si>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</si>
  <si>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</si>
  <si>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</si>
  <si>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</si>
  <si>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</si>
  <si>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</si>
  <si>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</si>
  <si>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</si>
  <si>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</si>
  <si>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</si>
  <si>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</si>
  <si>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</si>
  <si>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</si>
  <si>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</si>
  <si>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</si>
  <si>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</si>
  <si>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</si>
  <si>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</si>
  <si>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</si>
  <si>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</si>
  <si>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</si>
  <si>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</si>
  <si>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</si>
  <si>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</si>
  <si>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</si>
  <si>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</si>
  <si>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</si>
  <si>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</si>
  <si>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</si>
  <si>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</si>
  <si>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</si>
  <si>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</si>
  <si>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</si>
  <si>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</si>
  <si>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</si>
  <si>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</si>
  <si>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</si>
  <si>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</si>
  <si>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</si>
  <si>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</si>
  <si>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</si>
  <si>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</si>
  <si>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</si>
  <si>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</si>
  <si>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</si>
  <si>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</si>
  <si>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</si>
  <si>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</si>
  <si>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</si>
  <si>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</si>
  <si>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</si>
  <si>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</si>
  <si>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</si>
  <si>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</si>
  <si>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</si>
  <si>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</si>
  <si>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</si>
  <si>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</si>
  <si>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</si>
  <si>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</si>
  <si>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</si>
  <si>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</si>
  <si>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</si>
  <si>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</si>
  <si>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</si>
  <si>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</si>
  <si>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</si>
  <si>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</si>
  <si>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</si>
  <si>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</si>
  <si>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</si>
  <si>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</si>
  <si>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</si>
  <si>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</si>
  <si>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</si>
  <si>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</si>
  <si>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</si>
  <si>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</si>
  <si>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</si>
  <si>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</si>
  <si>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</si>
  <si>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</si>
  <si>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</si>
  <si>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</si>
  <si>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</si>
  <si>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</si>
  <si>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</si>
  <si>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</si>
  <si>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</si>
  <si>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</si>
  <si>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</si>
  <si>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</si>
  <si>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</si>
  <si>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</si>
  <si>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</si>
  <si>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</si>
  <si>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</si>
  <si>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</si>
  <si>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</si>
  <si>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</si>
  <si>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</si>
  <si>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</si>
  <si>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</si>
  <si>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</si>
  <si>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</si>
  <si>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</si>
  <si>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</si>
  <si>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</si>
  <si>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</si>
  <si>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</si>
  <si>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</si>
  <si>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</si>
  <si>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</si>
  <si>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</si>
  <si>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</si>
  <si>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</si>
  <si>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</si>
  <si>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</si>
  <si>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</si>
  <si>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</si>
  <si>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</si>
  <si>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</si>
  <si>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</si>
  <si>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</si>
  <si>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</si>
  <si>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</si>
  <si>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</si>
  <si>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</si>
  <si>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</si>
  <si>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</si>
  <si>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</si>
  <si>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</si>
  <si>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</si>
  <si>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</si>
  <si>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</si>
  <si>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</si>
  <si>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</si>
  <si>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</si>
  <si>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</si>
  <si>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</si>
  <si>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</si>
  <si>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</si>
  <si>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</si>
  <si>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</si>
  <si>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</si>
  <si>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</si>
  <si>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</si>
  <si>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</si>
  <si>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</si>
  <si>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</si>
  <si>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</si>
  <si>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</si>
  <si>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</si>
  <si>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</si>
  <si>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</si>
  <si>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</si>
  <si>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</si>
  <si>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</si>
  <si>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</si>
  <si>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</si>
  <si>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</si>
  <si>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</si>
  <si>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</si>
  <si>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</si>
  <si>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</si>
  <si>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</si>
  <si>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</si>
  <si>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</si>
  <si>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</si>
  <si>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</si>
  <si>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</si>
  <si>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</si>
  <si>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</si>
  <si>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</si>
  <si>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</si>
  <si>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</si>
  <si>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</si>
  <si>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</si>
  <si>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</si>
  <si>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</si>
  <si>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</si>
  <si>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</si>
  <si>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</si>
  <si>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</si>
  <si>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</si>
  <si>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</si>
  <si>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</si>
  <si>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</si>
  <si>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</si>
  <si>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</si>
  <si>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</si>
  <si>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</si>
  <si>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</si>
  <si>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</si>
  <si>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</si>
  <si>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</si>
  <si>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</si>
  <si>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</si>
  <si>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</si>
  <si>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</si>
  <si>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</si>
  <si>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</si>
  <si>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</si>
  <si>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</si>
  <si>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</si>
  <si>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</si>
  <si>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</si>
  <si>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</si>
  <si>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</si>
  <si>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</si>
  <si>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</si>
  <si>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</si>
  <si>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</si>
  <si>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</si>
  <si>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</si>
  <si>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</si>
  <si>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</si>
  <si>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</si>
  <si>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</si>
  <si>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</si>
  <si>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</si>
  <si>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</si>
  <si>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</si>
  <si>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</si>
  <si>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</si>
  <si>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</si>
  <si>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</si>
  <si>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</si>
  <si>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</si>
  <si>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</si>
  <si>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</si>
  <si>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</si>
  <si>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</si>
  <si>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</si>
  <si>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</si>
  <si>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</si>
  <si>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</si>
  <si>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</si>
  <si>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</si>
  <si>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</si>
  <si>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</si>
  <si>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</si>
  <si>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</si>
  <si>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</si>
  <si>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32011</t>
  </si>
  <si>
    <t>KORTEMARK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</si>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</sst>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122250.76947507808</c:v>
                </c:pt>
                <c:pt idx="1">
                  <c:v>38808.736893659057</c:v>
                </c:pt>
                <c:pt idx="2">
                  <c:v>837.92100000000005</c:v>
                </c:pt>
                <c:pt idx="3">
                  <c:v>21575.807000537316</c:v>
                </c:pt>
                <c:pt idx="4">
                  <c:v>197003.91906920887</c:v>
                </c:pt>
                <c:pt idx="5">
                  <c:v>71478.654888417601</c:v>
                </c:pt>
                <c:pt idx="6">
                  <c:v>569.59352896398832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122250.76947507808</c:v>
                </c:pt>
                <c:pt idx="1">
                  <c:v>38808.736893659057</c:v>
                </c:pt>
                <c:pt idx="2">
                  <c:v>837.92100000000005</c:v>
                </c:pt>
                <c:pt idx="3">
                  <c:v>21575.807000537316</c:v>
                </c:pt>
                <c:pt idx="4">
                  <c:v>197003.91906920887</c:v>
                </c:pt>
                <c:pt idx="5">
                  <c:v>71478.654888417601</c:v>
                </c:pt>
                <c:pt idx="6">
                  <c:v>569.59352896398832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23000.108611494994</c:v>
                </c:pt>
                <c:pt idx="2">
                  <c:v>7764.0896957702907</c:v>
                </c:pt>
                <c:pt idx="3">
                  <c:v>172.57890546521398</c:v>
                </c:pt>
                <c:pt idx="4">
                  <c:v>5505.9391254382481</c:v>
                </c:pt>
                <c:pt idx="5">
                  <c:v>40112.847206795581</c:v>
                </c:pt>
                <c:pt idx="6">
                  <c:v>18052.091943967309</c:v>
                </c:pt>
                <c:pt idx="7">
                  <c:v>145.6060165378079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23000.108611494994</c:v>
                </c:pt>
                <c:pt idx="2">
                  <c:v>7764.0896957702907</c:v>
                </c:pt>
                <c:pt idx="3">
                  <c:v>172.57890546521398</c:v>
                </c:pt>
                <c:pt idx="4">
                  <c:v>5505.9391254382481</c:v>
                </c:pt>
                <c:pt idx="5">
                  <c:v>40112.847206795581</c:v>
                </c:pt>
                <c:pt idx="6">
                  <c:v>18052.091943967309</c:v>
                </c:pt>
                <c:pt idx="7">
                  <c:v>145.6060165378079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32011</v>
      </c>
      <c r="B6" s="398"/>
      <c r="C6" s="399"/>
    </row>
    <row r="7" spans="1:7" s="396" customFormat="1" ht="15.75" customHeight="1">
      <c r="A7" s="400" t="str">
        <f>txtMunicipality</f>
        <v>KORTEMARK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18016.307764193611</v>
      </c>
      <c r="D10" s="690">
        <f ca="1">tertiair!C16</f>
        <v>0</v>
      </c>
      <c r="E10" s="690">
        <f ca="1">tertiair!D16</f>
        <v>16110.046635078121</v>
      </c>
      <c r="F10" s="690">
        <f>tertiair!E16</f>
        <v>230.87525616760058</v>
      </c>
      <c r="G10" s="690">
        <f ca="1">tertiair!F16</f>
        <v>3443.3587239253338</v>
      </c>
      <c r="H10" s="690">
        <f>tertiair!G16</f>
        <v>0</v>
      </c>
      <c r="I10" s="690">
        <f>tertiair!H16</f>
        <v>0</v>
      </c>
      <c r="J10" s="690">
        <f>tertiair!I16</f>
        <v>0</v>
      </c>
      <c r="K10" s="690">
        <f>tertiair!J16</f>
        <v>0</v>
      </c>
      <c r="L10" s="690">
        <f>tertiair!K16</f>
        <v>0</v>
      </c>
      <c r="M10" s="690">
        <f ca="1">tertiair!L16</f>
        <v>0</v>
      </c>
      <c r="N10" s="690">
        <f>tertiair!M16</f>
        <v>0</v>
      </c>
      <c r="O10" s="690">
        <f ca="1">tertiair!N16</f>
        <v>1819.1861809610664</v>
      </c>
      <c r="P10" s="690">
        <f>tertiair!O16</f>
        <v>7.8166666666666664</v>
      </c>
      <c r="Q10" s="691">
        <f>tertiair!P16</f>
        <v>19.066666666666666</v>
      </c>
      <c r="R10" s="693">
        <f ca="1">SUM(C10:Q10)</f>
        <v>39646.657893659059</v>
      </c>
      <c r="S10" s="67"/>
    </row>
    <row r="11" spans="1:19" s="458" customFormat="1">
      <c r="A11" s="805" t="s">
        <v>225</v>
      </c>
      <c r="B11" s="810"/>
      <c r="C11" s="690">
        <f>huishoudens!B8</f>
        <v>23130.799028138979</v>
      </c>
      <c r="D11" s="690">
        <f>huishoudens!C8</f>
        <v>0</v>
      </c>
      <c r="E11" s="690">
        <f>huishoudens!D8</f>
        <v>46254.249483434287</v>
      </c>
      <c r="F11" s="690">
        <f>huishoudens!E8</f>
        <v>6395.7856988074827</v>
      </c>
      <c r="G11" s="690">
        <f>huishoudens!F8</f>
        <v>24103.453360425665</v>
      </c>
      <c r="H11" s="690">
        <f>huishoudens!G8</f>
        <v>0</v>
      </c>
      <c r="I11" s="690">
        <f>huishoudens!H8</f>
        <v>0</v>
      </c>
      <c r="J11" s="690">
        <f>huishoudens!I8</f>
        <v>0</v>
      </c>
      <c r="K11" s="690">
        <f>huishoudens!J8</f>
        <v>2839.6786035193163</v>
      </c>
      <c r="L11" s="690">
        <f>huishoudens!K8</f>
        <v>0</v>
      </c>
      <c r="M11" s="690">
        <f>huishoudens!L8</f>
        <v>0</v>
      </c>
      <c r="N11" s="690">
        <f>huishoudens!M8</f>
        <v>0</v>
      </c>
      <c r="O11" s="690">
        <f>huishoudens!N8</f>
        <v>19124.779967419028</v>
      </c>
      <c r="P11" s="690">
        <f>huishoudens!O8</f>
        <v>192.29000000000002</v>
      </c>
      <c r="Q11" s="691">
        <f>huishoudens!P8</f>
        <v>209.73333333333335</v>
      </c>
      <c r="R11" s="693">
        <f>SUM(C11:Q11)</f>
        <v>122250.76947507808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27694.859000000004</v>
      </c>
      <c r="D13" s="690">
        <f>industrie!C18</f>
        <v>0</v>
      </c>
      <c r="E13" s="690">
        <f>industrie!D18</f>
        <v>135720.99585701554</v>
      </c>
      <c r="F13" s="690">
        <f>industrie!E18</f>
        <v>1963.6650450556458</v>
      </c>
      <c r="G13" s="690">
        <f>industrie!F18</f>
        <v>24458.222340472439</v>
      </c>
      <c r="H13" s="690">
        <f>industrie!G18</f>
        <v>0</v>
      </c>
      <c r="I13" s="690">
        <f>industrie!H18</f>
        <v>0</v>
      </c>
      <c r="J13" s="690">
        <f>industrie!I18</f>
        <v>0</v>
      </c>
      <c r="K13" s="690">
        <f>industrie!J18</f>
        <v>48.171016137641743</v>
      </c>
      <c r="L13" s="690">
        <f>industrie!K18</f>
        <v>0</v>
      </c>
      <c r="M13" s="690">
        <f>industrie!L18</f>
        <v>0</v>
      </c>
      <c r="N13" s="690">
        <f>industrie!M18</f>
        <v>0</v>
      </c>
      <c r="O13" s="690">
        <f>industrie!N18</f>
        <v>7118.0058105275875</v>
      </c>
      <c r="P13" s="690">
        <f>industrie!O18</f>
        <v>0</v>
      </c>
      <c r="Q13" s="691">
        <f>industrie!P18</f>
        <v>0</v>
      </c>
      <c r="R13" s="693">
        <f>SUM(C13:Q13)</f>
        <v>197003.91906920887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68841.965792332601</v>
      </c>
      <c r="D16" s="725">
        <f t="shared" ref="D16:R16" ca="1" si="0">SUM(D9:D15)</f>
        <v>0</v>
      </c>
      <c r="E16" s="725">
        <f t="shared" ca="1" si="0"/>
        <v>198085.29197552794</v>
      </c>
      <c r="F16" s="725">
        <f t="shared" si="0"/>
        <v>8590.3260000307291</v>
      </c>
      <c r="G16" s="725">
        <f t="shared" ca="1" si="0"/>
        <v>52005.034424823432</v>
      </c>
      <c r="H16" s="725">
        <f t="shared" si="0"/>
        <v>0</v>
      </c>
      <c r="I16" s="725">
        <f t="shared" si="0"/>
        <v>0</v>
      </c>
      <c r="J16" s="725">
        <f t="shared" si="0"/>
        <v>0</v>
      </c>
      <c r="K16" s="725">
        <f t="shared" si="0"/>
        <v>2887.8496196569581</v>
      </c>
      <c r="L16" s="725">
        <f t="shared" si="0"/>
        <v>0</v>
      </c>
      <c r="M16" s="725">
        <f t="shared" ca="1" si="0"/>
        <v>0</v>
      </c>
      <c r="N16" s="725">
        <f t="shared" si="0"/>
        <v>0</v>
      </c>
      <c r="O16" s="725">
        <f t="shared" ca="1" si="0"/>
        <v>28061.971958907685</v>
      </c>
      <c r="P16" s="725">
        <f t="shared" si="0"/>
        <v>200.10666666666668</v>
      </c>
      <c r="Q16" s="725">
        <f t="shared" si="0"/>
        <v>228.8</v>
      </c>
      <c r="R16" s="725">
        <f t="shared" ca="1" si="0"/>
        <v>358901.34643794602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545.34088590939291</v>
      </c>
      <c r="I19" s="690">
        <f>transport!H54</f>
        <v>0</v>
      </c>
      <c r="J19" s="690">
        <f>transport!I54</f>
        <v>0</v>
      </c>
      <c r="K19" s="690">
        <f>transport!J54</f>
        <v>0</v>
      </c>
      <c r="L19" s="690">
        <f>transport!K54</f>
        <v>0</v>
      </c>
      <c r="M19" s="690">
        <f>transport!L54</f>
        <v>0</v>
      </c>
      <c r="N19" s="690">
        <f>transport!M54</f>
        <v>24.252643054595357</v>
      </c>
      <c r="O19" s="690">
        <f>transport!N54</f>
        <v>0</v>
      </c>
      <c r="P19" s="690">
        <f>transport!O54</f>
        <v>0</v>
      </c>
      <c r="Q19" s="691">
        <f>transport!P54</f>
        <v>0</v>
      </c>
      <c r="R19" s="693">
        <f>SUM(C19:Q19)</f>
        <v>569.59352896398832</v>
      </c>
      <c r="S19" s="67"/>
    </row>
    <row r="20" spans="1:19" s="458" customFormat="1">
      <c r="A20" s="805" t="s">
        <v>307</v>
      </c>
      <c r="B20" s="810"/>
      <c r="C20" s="690">
        <f>transport!B14</f>
        <v>3.7292958012528299</v>
      </c>
      <c r="D20" s="690">
        <f>transport!C14</f>
        <v>0</v>
      </c>
      <c r="E20" s="690">
        <f>transport!D14</f>
        <v>7.529076954937274</v>
      </c>
      <c r="F20" s="690">
        <f>transport!E14</f>
        <v>223.76211053144672</v>
      </c>
      <c r="G20" s="690">
        <f>transport!F14</f>
        <v>0</v>
      </c>
      <c r="H20" s="690">
        <f>transport!G14</f>
        <v>57039.560591251924</v>
      </c>
      <c r="I20" s="690">
        <f>transport!H14</f>
        <v>11122.274315683811</v>
      </c>
      <c r="J20" s="690">
        <f>transport!I14</f>
        <v>0</v>
      </c>
      <c r="K20" s="690">
        <f>transport!J14</f>
        <v>0</v>
      </c>
      <c r="L20" s="690">
        <f>transport!K14</f>
        <v>0</v>
      </c>
      <c r="M20" s="690">
        <f>transport!L14</f>
        <v>0</v>
      </c>
      <c r="N20" s="690">
        <f>transport!M14</f>
        <v>3081.7994981942311</v>
      </c>
      <c r="O20" s="690">
        <f>transport!N14</f>
        <v>0</v>
      </c>
      <c r="P20" s="690">
        <f>transport!O14</f>
        <v>0</v>
      </c>
      <c r="Q20" s="691">
        <f>transport!P14</f>
        <v>0</v>
      </c>
      <c r="R20" s="693">
        <f>SUM(C20:Q20)</f>
        <v>71478.654888417601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3.7292958012528299</v>
      </c>
      <c r="D22" s="808">
        <f t="shared" ref="D22:R22" si="1">SUM(D18:D21)</f>
        <v>0</v>
      </c>
      <c r="E22" s="808">
        <f t="shared" si="1"/>
        <v>7.529076954937274</v>
      </c>
      <c r="F22" s="808">
        <f t="shared" si="1"/>
        <v>223.76211053144672</v>
      </c>
      <c r="G22" s="808">
        <f t="shared" si="1"/>
        <v>0</v>
      </c>
      <c r="H22" s="808">
        <f t="shared" si="1"/>
        <v>57584.901477161315</v>
      </c>
      <c r="I22" s="808">
        <f t="shared" si="1"/>
        <v>11122.274315683811</v>
      </c>
      <c r="J22" s="808">
        <f t="shared" si="1"/>
        <v>0</v>
      </c>
      <c r="K22" s="808">
        <f t="shared" si="1"/>
        <v>0</v>
      </c>
      <c r="L22" s="808">
        <f t="shared" si="1"/>
        <v>0</v>
      </c>
      <c r="M22" s="808">
        <f t="shared" si="1"/>
        <v>0</v>
      </c>
      <c r="N22" s="808">
        <f t="shared" si="1"/>
        <v>3106.0521412488265</v>
      </c>
      <c r="O22" s="808">
        <f t="shared" si="1"/>
        <v>0</v>
      </c>
      <c r="P22" s="808">
        <f t="shared" si="1"/>
        <v>0</v>
      </c>
      <c r="Q22" s="808">
        <f t="shared" si="1"/>
        <v>0</v>
      </c>
      <c r="R22" s="808">
        <f t="shared" si="1"/>
        <v>72048.24841738159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4564.9186460826068</v>
      </c>
      <c r="D24" s="690">
        <f>+landbouw!C8</f>
        <v>0</v>
      </c>
      <c r="E24" s="690">
        <f>+landbouw!D8</f>
        <v>516.73971705848771</v>
      </c>
      <c r="F24" s="690">
        <f>+landbouw!E8</f>
        <v>57.523855751546854</v>
      </c>
      <c r="G24" s="690">
        <f>+landbouw!F8</f>
        <v>15750.112909437572</v>
      </c>
      <c r="H24" s="690">
        <f>+landbouw!G8</f>
        <v>0</v>
      </c>
      <c r="I24" s="690">
        <f>+landbouw!H8</f>
        <v>0</v>
      </c>
      <c r="J24" s="690">
        <f>+landbouw!I8</f>
        <v>0</v>
      </c>
      <c r="K24" s="690">
        <f>+landbouw!J8</f>
        <v>686.51187220710028</v>
      </c>
      <c r="L24" s="690">
        <f>+landbouw!K8</f>
        <v>0</v>
      </c>
      <c r="M24" s="690">
        <f>+landbouw!L8</f>
        <v>0</v>
      </c>
      <c r="N24" s="690">
        <f>+landbouw!M8</f>
        <v>0</v>
      </c>
      <c r="O24" s="690">
        <f>+landbouw!N8</f>
        <v>0</v>
      </c>
      <c r="P24" s="690">
        <f>+landbouw!O8</f>
        <v>0</v>
      </c>
      <c r="Q24" s="691">
        <f>+landbouw!P8</f>
        <v>0</v>
      </c>
      <c r="R24" s="693">
        <f>SUM(C24:Q24)</f>
        <v>21575.807000537316</v>
      </c>
      <c r="S24" s="67"/>
    </row>
    <row r="25" spans="1:19" s="458" customFormat="1" ht="15" thickBot="1">
      <c r="A25" s="827" t="s">
        <v>872</v>
      </c>
      <c r="B25" s="1004"/>
      <c r="C25" s="1005">
        <f>IF(Onbekend_ele_kWh="---",0,Onbekend_ele_kWh)/1000+IF(REST_rest_ele_kWh="---",0,REST_rest_ele_kWh)/1000</f>
        <v>307.642</v>
      </c>
      <c r="D25" s="1005"/>
      <c r="E25" s="1005">
        <f>IF(onbekend_gas_kWh="---",0,onbekend_gas_kWh)/1000+IF(REST_rest_gas_kWh="---",0,REST_rest_gas_kWh)/1000</f>
        <v>1170.4404537016201</v>
      </c>
      <c r="F25" s="1005"/>
      <c r="G25" s="1005"/>
      <c r="H25" s="1005"/>
      <c r="I25" s="1005"/>
      <c r="J25" s="1005"/>
      <c r="K25" s="1005"/>
      <c r="L25" s="1005"/>
      <c r="M25" s="1005"/>
      <c r="N25" s="1005"/>
      <c r="O25" s="1005"/>
      <c r="P25" s="1005"/>
      <c r="Q25" s="1006"/>
      <c r="R25" s="693">
        <f>SUM(C25:Q25)</f>
        <v>1478.0824537016201</v>
      </c>
      <c r="S25" s="67"/>
    </row>
    <row r="26" spans="1:19" s="458" customFormat="1" ht="15.75" thickBot="1">
      <c r="A26" s="698" t="s">
        <v>873</v>
      </c>
      <c r="B26" s="813"/>
      <c r="C26" s="808">
        <f>SUM(C24:C25)</f>
        <v>4872.5606460826066</v>
      </c>
      <c r="D26" s="808">
        <f t="shared" ref="D26:R26" si="2">SUM(D24:D25)</f>
        <v>0</v>
      </c>
      <c r="E26" s="808">
        <f t="shared" si="2"/>
        <v>1687.1801707601078</v>
      </c>
      <c r="F26" s="808">
        <f t="shared" si="2"/>
        <v>57.523855751546854</v>
      </c>
      <c r="G26" s="808">
        <f t="shared" si="2"/>
        <v>15750.112909437572</v>
      </c>
      <c r="H26" s="808">
        <f t="shared" si="2"/>
        <v>0</v>
      </c>
      <c r="I26" s="808">
        <f t="shared" si="2"/>
        <v>0</v>
      </c>
      <c r="J26" s="808">
        <f t="shared" si="2"/>
        <v>0</v>
      </c>
      <c r="K26" s="808">
        <f t="shared" si="2"/>
        <v>686.51187220710028</v>
      </c>
      <c r="L26" s="808">
        <f t="shared" si="2"/>
        <v>0</v>
      </c>
      <c r="M26" s="808">
        <f t="shared" si="2"/>
        <v>0</v>
      </c>
      <c r="N26" s="808">
        <f t="shared" si="2"/>
        <v>0</v>
      </c>
      <c r="O26" s="808">
        <f t="shared" si="2"/>
        <v>0</v>
      </c>
      <c r="P26" s="808">
        <f t="shared" si="2"/>
        <v>0</v>
      </c>
      <c r="Q26" s="808">
        <f t="shared" si="2"/>
        <v>0</v>
      </c>
      <c r="R26" s="808">
        <f t="shared" si="2"/>
        <v>23053.889454238935</v>
      </c>
      <c r="S26" s="67"/>
    </row>
    <row r="27" spans="1:19" s="458" customFormat="1" ht="17.25" thickTop="1" thickBot="1">
      <c r="A27" s="699" t="s">
        <v>116</v>
      </c>
      <c r="B27" s="800"/>
      <c r="C27" s="700">
        <f ca="1">C22+C16+C26</f>
        <v>73718.255734216465</v>
      </c>
      <c r="D27" s="700">
        <f t="shared" ref="D27:R27" ca="1" si="3">D22+D16+D26</f>
        <v>0</v>
      </c>
      <c r="E27" s="700">
        <f t="shared" ca="1" si="3"/>
        <v>199780.00122324299</v>
      </c>
      <c r="F27" s="700">
        <f t="shared" si="3"/>
        <v>8871.6119663137233</v>
      </c>
      <c r="G27" s="700">
        <f t="shared" ca="1" si="3"/>
        <v>67755.147334261012</v>
      </c>
      <c r="H27" s="700">
        <f t="shared" si="3"/>
        <v>57584.901477161315</v>
      </c>
      <c r="I27" s="700">
        <f t="shared" si="3"/>
        <v>11122.274315683811</v>
      </c>
      <c r="J27" s="700">
        <f t="shared" si="3"/>
        <v>0</v>
      </c>
      <c r="K27" s="700">
        <f t="shared" si="3"/>
        <v>3574.3614918640583</v>
      </c>
      <c r="L27" s="700">
        <f t="shared" si="3"/>
        <v>0</v>
      </c>
      <c r="M27" s="700">
        <f t="shared" ca="1" si="3"/>
        <v>0</v>
      </c>
      <c r="N27" s="700">
        <f t="shared" si="3"/>
        <v>3106.0521412488265</v>
      </c>
      <c r="O27" s="700">
        <f t="shared" ca="1" si="3"/>
        <v>28061.971958907685</v>
      </c>
      <c r="P27" s="700">
        <f t="shared" si="3"/>
        <v>200.10666666666668</v>
      </c>
      <c r="Q27" s="700">
        <f t="shared" si="3"/>
        <v>228.8</v>
      </c>
      <c r="R27" s="700">
        <f t="shared" ca="1" si="3"/>
        <v>454003.48430956656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3710.653718511614</v>
      </c>
      <c r="D40" s="690">
        <f ca="1">tertiair!C20</f>
        <v>0</v>
      </c>
      <c r="E40" s="690">
        <f ca="1">tertiair!D20</f>
        <v>3254.2294202857806</v>
      </c>
      <c r="F40" s="690">
        <f>tertiair!E20</f>
        <v>52.408683150045334</v>
      </c>
      <c r="G40" s="690">
        <f ca="1">tertiair!F20</f>
        <v>919.3767792880642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7936.6686012355049</v>
      </c>
    </row>
    <row r="41" spans="1:18">
      <c r="A41" s="818" t="s">
        <v>225</v>
      </c>
      <c r="B41" s="825"/>
      <c r="C41" s="690">
        <f ca="1">huishoudens!B12</f>
        <v>4764.0385893324792</v>
      </c>
      <c r="D41" s="690">
        <f ca="1">huishoudens!C12</f>
        <v>0</v>
      </c>
      <c r="E41" s="690">
        <f>huishoudens!D12</f>
        <v>9343.3583956537259</v>
      </c>
      <c r="F41" s="690">
        <f>huishoudens!E12</f>
        <v>1451.8433536292987</v>
      </c>
      <c r="G41" s="690">
        <f>huishoudens!F12</f>
        <v>6435.6220472336527</v>
      </c>
      <c r="H41" s="690">
        <f>huishoudens!G12</f>
        <v>0</v>
      </c>
      <c r="I41" s="690">
        <f>huishoudens!H12</f>
        <v>0</v>
      </c>
      <c r="J41" s="690">
        <f>huishoudens!I12</f>
        <v>0</v>
      </c>
      <c r="K41" s="690">
        <f>huishoudens!J12</f>
        <v>1005.246225645838</v>
      </c>
      <c r="L41" s="690">
        <f>huishoudens!K12</f>
        <v>0</v>
      </c>
      <c r="M41" s="690">
        <f>huishoudens!L12</f>
        <v>0</v>
      </c>
      <c r="N41" s="690">
        <f>huishoudens!M12</f>
        <v>0</v>
      </c>
      <c r="O41" s="690">
        <f>huishoudens!N12</f>
        <v>0</v>
      </c>
      <c r="P41" s="690">
        <f>huishoudens!O12</f>
        <v>0</v>
      </c>
      <c r="Q41" s="767">
        <f>huishoudens!P12</f>
        <v>0</v>
      </c>
      <c r="R41" s="846">
        <f t="shared" ca="1" si="4"/>
        <v>23000.108611494994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5704.0561738319375</v>
      </c>
      <c r="D43" s="690">
        <f ca="1">industrie!C22</f>
        <v>0</v>
      </c>
      <c r="E43" s="690">
        <f>industrie!D22</f>
        <v>27415.641163117143</v>
      </c>
      <c r="F43" s="690">
        <f>industrie!E22</f>
        <v>445.75196522763162</v>
      </c>
      <c r="G43" s="690">
        <f>industrie!F22</f>
        <v>6530.3453649061412</v>
      </c>
      <c r="H43" s="690">
        <f>industrie!G22</f>
        <v>0</v>
      </c>
      <c r="I43" s="690">
        <f>industrie!H22</f>
        <v>0</v>
      </c>
      <c r="J43" s="690">
        <f>industrie!I22</f>
        <v>0</v>
      </c>
      <c r="K43" s="690">
        <f>industrie!J22</f>
        <v>17.052539712725178</v>
      </c>
      <c r="L43" s="690">
        <f>industrie!K22</f>
        <v>0</v>
      </c>
      <c r="M43" s="690">
        <f>industrie!L22</f>
        <v>0</v>
      </c>
      <c r="N43" s="690">
        <f>industrie!M22</f>
        <v>0</v>
      </c>
      <c r="O43" s="690">
        <f>industrie!N22</f>
        <v>0</v>
      </c>
      <c r="P43" s="690">
        <f>industrie!O22</f>
        <v>0</v>
      </c>
      <c r="Q43" s="767">
        <f>industrie!P22</f>
        <v>0</v>
      </c>
      <c r="R43" s="845">
        <f t="shared" ca="1" si="4"/>
        <v>40112.847206795581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14178.74848167603</v>
      </c>
      <c r="D46" s="725">
        <f t="shared" ref="D46:Q46" ca="1" si="5">SUM(D39:D45)</f>
        <v>0</v>
      </c>
      <c r="E46" s="725">
        <f t="shared" ca="1" si="5"/>
        <v>40013.22897905665</v>
      </c>
      <c r="F46" s="725">
        <f t="shared" si="5"/>
        <v>1950.0040020069757</v>
      </c>
      <c r="G46" s="725">
        <f t="shared" ca="1" si="5"/>
        <v>13885.344191427859</v>
      </c>
      <c r="H46" s="725">
        <f t="shared" si="5"/>
        <v>0</v>
      </c>
      <c r="I46" s="725">
        <f t="shared" si="5"/>
        <v>0</v>
      </c>
      <c r="J46" s="725">
        <f t="shared" si="5"/>
        <v>0</v>
      </c>
      <c r="K46" s="725">
        <f t="shared" si="5"/>
        <v>1022.2987653585632</v>
      </c>
      <c r="L46" s="725">
        <f t="shared" si="5"/>
        <v>0</v>
      </c>
      <c r="M46" s="725">
        <f t="shared" ca="1" si="5"/>
        <v>0</v>
      </c>
      <c r="N46" s="725">
        <f t="shared" si="5"/>
        <v>0</v>
      </c>
      <c r="O46" s="725">
        <f t="shared" ca="1" si="5"/>
        <v>0</v>
      </c>
      <c r="P46" s="725">
        <f t="shared" si="5"/>
        <v>0</v>
      </c>
      <c r="Q46" s="725">
        <f t="shared" si="5"/>
        <v>0</v>
      </c>
      <c r="R46" s="725">
        <f ca="1">SUM(R39:R45)</f>
        <v>71049.624419526081</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145.6060165378079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145.6060165378079</v>
      </c>
    </row>
    <row r="50" spans="1:18">
      <c r="A50" s="821" t="s">
        <v>307</v>
      </c>
      <c r="B50" s="831"/>
      <c r="C50" s="696">
        <f ca="1">transport!B18</f>
        <v>0.76808886223907924</v>
      </c>
      <c r="D50" s="696">
        <f>transport!C18</f>
        <v>0</v>
      </c>
      <c r="E50" s="696">
        <f>transport!D18</f>
        <v>1.5208735448973294</v>
      </c>
      <c r="F50" s="696">
        <f>transport!E18</f>
        <v>50.793999090638408</v>
      </c>
      <c r="G50" s="696">
        <f>transport!F18</f>
        <v>0</v>
      </c>
      <c r="H50" s="696">
        <f>transport!G18</f>
        <v>15229.562677864265</v>
      </c>
      <c r="I50" s="696">
        <f>transport!H18</f>
        <v>2769.4463046052692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18052.091943967309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0.76808886223907924</v>
      </c>
      <c r="D52" s="725">
        <f t="shared" ref="D52:Q52" ca="1" si="6">SUM(D48:D51)</f>
        <v>0</v>
      </c>
      <c r="E52" s="725">
        <f t="shared" si="6"/>
        <v>1.5208735448973294</v>
      </c>
      <c r="F52" s="725">
        <f t="shared" si="6"/>
        <v>50.793999090638408</v>
      </c>
      <c r="G52" s="725">
        <f t="shared" si="6"/>
        <v>0</v>
      </c>
      <c r="H52" s="725">
        <f t="shared" si="6"/>
        <v>15375.168694402073</v>
      </c>
      <c r="I52" s="725">
        <f t="shared" si="6"/>
        <v>2769.4463046052692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18197.697960505116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940.19443775568675</v>
      </c>
      <c r="D54" s="696">
        <f ca="1">+landbouw!C12</f>
        <v>0</v>
      </c>
      <c r="E54" s="696">
        <f>+landbouw!D12</f>
        <v>104.38142284581453</v>
      </c>
      <c r="F54" s="696">
        <f>+landbouw!E12</f>
        <v>13.057915255601136</v>
      </c>
      <c r="G54" s="696">
        <f>+landbouw!F12</f>
        <v>4205.2801468198322</v>
      </c>
      <c r="H54" s="696">
        <f>+landbouw!G12</f>
        <v>0</v>
      </c>
      <c r="I54" s="696">
        <f>+landbouw!H12</f>
        <v>0</v>
      </c>
      <c r="J54" s="696">
        <f>+landbouw!I12</f>
        <v>0</v>
      </c>
      <c r="K54" s="696">
        <f>+landbouw!J12</f>
        <v>243.02520276131349</v>
      </c>
      <c r="L54" s="696">
        <f>+landbouw!K12</f>
        <v>0</v>
      </c>
      <c r="M54" s="696">
        <f>+landbouw!L12</f>
        <v>0</v>
      </c>
      <c r="N54" s="696">
        <f>+landbouw!M12</f>
        <v>0</v>
      </c>
      <c r="O54" s="696">
        <f>+landbouw!N12</f>
        <v>0</v>
      </c>
      <c r="P54" s="696">
        <f>+landbouw!O12</f>
        <v>0</v>
      </c>
      <c r="Q54" s="697">
        <f>+landbouw!P12</f>
        <v>0</v>
      </c>
      <c r="R54" s="724">
        <f ca="1">SUM(C54:Q54)</f>
        <v>5505.9391254382481</v>
      </c>
    </row>
    <row r="55" spans="1:18" ht="15" thickBot="1">
      <c r="A55" s="821" t="s">
        <v>872</v>
      </c>
      <c r="B55" s="831"/>
      <c r="C55" s="696">
        <f ca="1">C25*'EF ele_warmte'!B12</f>
        <v>63.362201967881646</v>
      </c>
      <c r="D55" s="696"/>
      <c r="E55" s="696">
        <f>E25*EF_CO2_aardgas</f>
        <v>236.42897164772728</v>
      </c>
      <c r="F55" s="696"/>
      <c r="G55" s="696"/>
      <c r="H55" s="696"/>
      <c r="I55" s="696"/>
      <c r="J55" s="696"/>
      <c r="K55" s="696"/>
      <c r="L55" s="696"/>
      <c r="M55" s="696"/>
      <c r="N55" s="696"/>
      <c r="O55" s="696"/>
      <c r="P55" s="696"/>
      <c r="Q55" s="697"/>
      <c r="R55" s="724">
        <f ca="1">SUM(C55:Q55)</f>
        <v>299.79117361560895</v>
      </c>
    </row>
    <row r="56" spans="1:18" ht="15.75" thickBot="1">
      <c r="A56" s="819" t="s">
        <v>873</v>
      </c>
      <c r="B56" s="832"/>
      <c r="C56" s="725">
        <f ca="1">SUM(C54:C55)</f>
        <v>1003.5566397235684</v>
      </c>
      <c r="D56" s="725">
        <f t="shared" ref="D56:Q56" ca="1" si="7">SUM(D54:D55)</f>
        <v>0</v>
      </c>
      <c r="E56" s="725">
        <f t="shared" si="7"/>
        <v>340.81039449354182</v>
      </c>
      <c r="F56" s="725">
        <f t="shared" si="7"/>
        <v>13.057915255601136</v>
      </c>
      <c r="G56" s="725">
        <f t="shared" si="7"/>
        <v>4205.2801468198322</v>
      </c>
      <c r="H56" s="725">
        <f t="shared" si="7"/>
        <v>0</v>
      </c>
      <c r="I56" s="725">
        <f t="shared" si="7"/>
        <v>0</v>
      </c>
      <c r="J56" s="725">
        <f t="shared" si="7"/>
        <v>0</v>
      </c>
      <c r="K56" s="725">
        <f t="shared" si="7"/>
        <v>243.02520276131349</v>
      </c>
      <c r="L56" s="725">
        <f t="shared" si="7"/>
        <v>0</v>
      </c>
      <c r="M56" s="725">
        <f t="shared" si="7"/>
        <v>0</v>
      </c>
      <c r="N56" s="725">
        <f t="shared" si="7"/>
        <v>0</v>
      </c>
      <c r="O56" s="725">
        <f t="shared" si="7"/>
        <v>0</v>
      </c>
      <c r="P56" s="725">
        <f t="shared" si="7"/>
        <v>0</v>
      </c>
      <c r="Q56" s="726">
        <f t="shared" si="7"/>
        <v>0</v>
      </c>
      <c r="R56" s="727">
        <f ca="1">SUM(R54:R55)</f>
        <v>5805.7302990538574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15183.073210261839</v>
      </c>
      <c r="D61" s="733">
        <f t="shared" ref="D61:Q61" ca="1" si="8">D46+D52+D56</f>
        <v>0</v>
      </c>
      <c r="E61" s="733">
        <f t="shared" ca="1" si="8"/>
        <v>40355.560247095091</v>
      </c>
      <c r="F61" s="733">
        <f t="shared" si="8"/>
        <v>2013.8559163532152</v>
      </c>
      <c r="G61" s="733">
        <f t="shared" ca="1" si="8"/>
        <v>18090.62433824769</v>
      </c>
      <c r="H61" s="733">
        <f t="shared" si="8"/>
        <v>15375.168694402073</v>
      </c>
      <c r="I61" s="733">
        <f t="shared" si="8"/>
        <v>2769.4463046052692</v>
      </c>
      <c r="J61" s="733">
        <f t="shared" si="8"/>
        <v>0</v>
      </c>
      <c r="K61" s="733">
        <f t="shared" si="8"/>
        <v>1265.3239681198766</v>
      </c>
      <c r="L61" s="733">
        <f t="shared" si="8"/>
        <v>0</v>
      </c>
      <c r="M61" s="733">
        <f t="shared" ca="1" si="8"/>
        <v>0</v>
      </c>
      <c r="N61" s="733">
        <f t="shared" si="8"/>
        <v>0</v>
      </c>
      <c r="O61" s="733">
        <f t="shared" ca="1" si="8"/>
        <v>0</v>
      </c>
      <c r="P61" s="733">
        <f t="shared" si="8"/>
        <v>0</v>
      </c>
      <c r="Q61" s="733">
        <f t="shared" si="8"/>
        <v>0</v>
      </c>
      <c r="R61" s="733">
        <f ca="1">R46+R52+R56</f>
        <v>95053.052679085056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0.20596083099148244</v>
      </c>
      <c r="D63" s="776">
        <f t="shared" ca="1" si="9"/>
        <v>0</v>
      </c>
      <c r="E63" s="1011">
        <f t="shared" ca="1" si="9"/>
        <v>0.20200000000000004</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5016.567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5016.567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23130.799028138979</v>
      </c>
      <c r="C4" s="462">
        <f>huishoudens!C8</f>
        <v>0</v>
      </c>
      <c r="D4" s="462">
        <f>huishoudens!D8</f>
        <v>46254.249483434287</v>
      </c>
      <c r="E4" s="462">
        <f>huishoudens!E8</f>
        <v>6395.7856988074827</v>
      </c>
      <c r="F4" s="462">
        <f>huishoudens!F8</f>
        <v>24103.453360425665</v>
      </c>
      <c r="G4" s="462">
        <f>huishoudens!G8</f>
        <v>0</v>
      </c>
      <c r="H4" s="462">
        <f>huishoudens!H8</f>
        <v>0</v>
      </c>
      <c r="I4" s="462">
        <f>huishoudens!I8</f>
        <v>0</v>
      </c>
      <c r="J4" s="462">
        <f>huishoudens!J8</f>
        <v>2839.6786035193163</v>
      </c>
      <c r="K4" s="462">
        <f>huishoudens!K8</f>
        <v>0</v>
      </c>
      <c r="L4" s="462">
        <f>huishoudens!L8</f>
        <v>0</v>
      </c>
      <c r="M4" s="462">
        <f>huishoudens!M8</f>
        <v>0</v>
      </c>
      <c r="N4" s="462">
        <f>huishoudens!N8</f>
        <v>19124.779967419028</v>
      </c>
      <c r="O4" s="462">
        <f>huishoudens!O8</f>
        <v>192.29000000000002</v>
      </c>
      <c r="P4" s="463">
        <f>huishoudens!P8</f>
        <v>209.73333333333335</v>
      </c>
      <c r="Q4" s="464">
        <f>SUM(B4:P4)</f>
        <v>122250.76947507808</v>
      </c>
    </row>
    <row r="5" spans="1:17">
      <c r="A5" s="461" t="s">
        <v>156</v>
      </c>
      <c r="B5" s="462">
        <f ca="1">tertiair!B16</f>
        <v>17178.386764193612</v>
      </c>
      <c r="C5" s="462">
        <f ca="1">tertiair!C16</f>
        <v>0</v>
      </c>
      <c r="D5" s="462">
        <f ca="1">tertiair!D16</f>
        <v>16110.046635078121</v>
      </c>
      <c r="E5" s="462">
        <f>tertiair!E16</f>
        <v>230.87525616760058</v>
      </c>
      <c r="F5" s="462">
        <f ca="1">tertiair!F16</f>
        <v>3443.3587239253338</v>
      </c>
      <c r="G5" s="462">
        <f>tertiair!G16</f>
        <v>0</v>
      </c>
      <c r="H5" s="462">
        <f>tertiair!H16</f>
        <v>0</v>
      </c>
      <c r="I5" s="462">
        <f>tertiair!I16</f>
        <v>0</v>
      </c>
      <c r="J5" s="462">
        <f>tertiair!J16</f>
        <v>0</v>
      </c>
      <c r="K5" s="462">
        <f>tertiair!K16</f>
        <v>0</v>
      </c>
      <c r="L5" s="462">
        <f ca="1">tertiair!L16</f>
        <v>0</v>
      </c>
      <c r="M5" s="462">
        <f>tertiair!M16</f>
        <v>0</v>
      </c>
      <c r="N5" s="462">
        <f ca="1">tertiair!N16</f>
        <v>1819.1861809610664</v>
      </c>
      <c r="O5" s="462">
        <f>tertiair!O16</f>
        <v>7.8166666666666664</v>
      </c>
      <c r="P5" s="463">
        <f>tertiair!P16</f>
        <v>19.066666666666666</v>
      </c>
      <c r="Q5" s="461">
        <f t="shared" ref="Q5:Q14" ca="1" si="0">SUM(B5:P5)</f>
        <v>38808.736893659057</v>
      </c>
    </row>
    <row r="6" spans="1:17">
      <c r="A6" s="461" t="s">
        <v>194</v>
      </c>
      <c r="B6" s="462">
        <f>'openbare verlichting'!B8</f>
        <v>837.92100000000005</v>
      </c>
      <c r="C6" s="462"/>
      <c r="D6" s="462"/>
      <c r="E6" s="462"/>
      <c r="F6" s="462"/>
      <c r="G6" s="462"/>
      <c r="H6" s="462"/>
      <c r="I6" s="462"/>
      <c r="J6" s="462"/>
      <c r="K6" s="462"/>
      <c r="L6" s="462"/>
      <c r="M6" s="462"/>
      <c r="N6" s="462"/>
      <c r="O6" s="462"/>
      <c r="P6" s="463"/>
      <c r="Q6" s="461">
        <f t="shared" si="0"/>
        <v>837.92100000000005</v>
      </c>
    </row>
    <row r="7" spans="1:17">
      <c r="A7" s="461" t="s">
        <v>112</v>
      </c>
      <c r="B7" s="462">
        <f>landbouw!B8</f>
        <v>4564.9186460826068</v>
      </c>
      <c r="C7" s="462">
        <f>landbouw!C8</f>
        <v>0</v>
      </c>
      <c r="D7" s="462">
        <f>landbouw!D8</f>
        <v>516.73971705848771</v>
      </c>
      <c r="E7" s="462">
        <f>landbouw!E8</f>
        <v>57.523855751546854</v>
      </c>
      <c r="F7" s="462">
        <f>landbouw!F8</f>
        <v>15750.112909437572</v>
      </c>
      <c r="G7" s="462">
        <f>landbouw!G8</f>
        <v>0</v>
      </c>
      <c r="H7" s="462">
        <f>landbouw!H8</f>
        <v>0</v>
      </c>
      <c r="I7" s="462">
        <f>landbouw!I8</f>
        <v>0</v>
      </c>
      <c r="J7" s="462">
        <f>landbouw!J8</f>
        <v>686.51187220710028</v>
      </c>
      <c r="K7" s="462">
        <f>landbouw!K8</f>
        <v>0</v>
      </c>
      <c r="L7" s="462">
        <f>landbouw!L8</f>
        <v>0</v>
      </c>
      <c r="M7" s="462">
        <f>landbouw!M8</f>
        <v>0</v>
      </c>
      <c r="N7" s="462">
        <f>landbouw!N8</f>
        <v>0</v>
      </c>
      <c r="O7" s="462">
        <f>landbouw!O8</f>
        <v>0</v>
      </c>
      <c r="P7" s="463">
        <f>landbouw!P8</f>
        <v>0</v>
      </c>
      <c r="Q7" s="461">
        <f t="shared" si="0"/>
        <v>21575.807000537316</v>
      </c>
    </row>
    <row r="8" spans="1:17">
      <c r="A8" s="461" t="s">
        <v>657</v>
      </c>
      <c r="B8" s="462">
        <f>industrie!B18</f>
        <v>27694.859000000004</v>
      </c>
      <c r="C8" s="462">
        <f>industrie!C18</f>
        <v>0</v>
      </c>
      <c r="D8" s="462">
        <f>industrie!D18</f>
        <v>135720.99585701554</v>
      </c>
      <c r="E8" s="462">
        <f>industrie!E18</f>
        <v>1963.6650450556458</v>
      </c>
      <c r="F8" s="462">
        <f>industrie!F18</f>
        <v>24458.222340472439</v>
      </c>
      <c r="G8" s="462">
        <f>industrie!G18</f>
        <v>0</v>
      </c>
      <c r="H8" s="462">
        <f>industrie!H18</f>
        <v>0</v>
      </c>
      <c r="I8" s="462">
        <f>industrie!I18</f>
        <v>0</v>
      </c>
      <c r="J8" s="462">
        <f>industrie!J18</f>
        <v>48.171016137641743</v>
      </c>
      <c r="K8" s="462">
        <f>industrie!K18</f>
        <v>0</v>
      </c>
      <c r="L8" s="462">
        <f>industrie!L18</f>
        <v>0</v>
      </c>
      <c r="M8" s="462">
        <f>industrie!M18</f>
        <v>0</v>
      </c>
      <c r="N8" s="462">
        <f>industrie!N18</f>
        <v>7118.0058105275875</v>
      </c>
      <c r="O8" s="462">
        <f>industrie!O18</f>
        <v>0</v>
      </c>
      <c r="P8" s="463">
        <f>industrie!P18</f>
        <v>0</v>
      </c>
      <c r="Q8" s="461">
        <f t="shared" si="0"/>
        <v>197003.91906920887</v>
      </c>
    </row>
    <row r="9" spans="1:17" s="467" customFormat="1">
      <c r="A9" s="465" t="s">
        <v>574</v>
      </c>
      <c r="B9" s="466">
        <f>transport!B14</f>
        <v>3.7292958012528299</v>
      </c>
      <c r="C9" s="466">
        <f>transport!C14</f>
        <v>0</v>
      </c>
      <c r="D9" s="466">
        <f>transport!D14</f>
        <v>7.529076954937274</v>
      </c>
      <c r="E9" s="466">
        <f>transport!E14</f>
        <v>223.76211053144672</v>
      </c>
      <c r="F9" s="466">
        <f>transport!F14</f>
        <v>0</v>
      </c>
      <c r="G9" s="466">
        <f>transport!G14</f>
        <v>57039.560591251924</v>
      </c>
      <c r="H9" s="466">
        <f>transport!H14</f>
        <v>11122.274315683811</v>
      </c>
      <c r="I9" s="466">
        <f>transport!I14</f>
        <v>0</v>
      </c>
      <c r="J9" s="466">
        <f>transport!J14</f>
        <v>0</v>
      </c>
      <c r="K9" s="466">
        <f>transport!K14</f>
        <v>0</v>
      </c>
      <c r="L9" s="466">
        <f>transport!L14</f>
        <v>0</v>
      </c>
      <c r="M9" s="466">
        <f>transport!M14</f>
        <v>3081.7994981942311</v>
      </c>
      <c r="N9" s="466">
        <f>transport!N14</f>
        <v>0</v>
      </c>
      <c r="O9" s="466">
        <f>transport!O14</f>
        <v>0</v>
      </c>
      <c r="P9" s="466">
        <f>transport!P14</f>
        <v>0</v>
      </c>
      <c r="Q9" s="465">
        <f>SUM(B9:P9)</f>
        <v>71478.654888417601</v>
      </c>
    </row>
    <row r="10" spans="1:17">
      <c r="A10" s="461" t="s">
        <v>564</v>
      </c>
      <c r="B10" s="462">
        <f>transport!B54</f>
        <v>0</v>
      </c>
      <c r="C10" s="462">
        <f>transport!C54</f>
        <v>0</v>
      </c>
      <c r="D10" s="462">
        <f>transport!D54</f>
        <v>0</v>
      </c>
      <c r="E10" s="462">
        <f>transport!E54</f>
        <v>0</v>
      </c>
      <c r="F10" s="462">
        <f>transport!F54</f>
        <v>0</v>
      </c>
      <c r="G10" s="462">
        <f>transport!G54</f>
        <v>545.34088590939291</v>
      </c>
      <c r="H10" s="462">
        <f>transport!H54</f>
        <v>0</v>
      </c>
      <c r="I10" s="462">
        <f>transport!I54</f>
        <v>0</v>
      </c>
      <c r="J10" s="462">
        <f>transport!J54</f>
        <v>0</v>
      </c>
      <c r="K10" s="462">
        <f>transport!K54</f>
        <v>0</v>
      </c>
      <c r="L10" s="462">
        <f>transport!L54</f>
        <v>0</v>
      </c>
      <c r="M10" s="462">
        <f>transport!M54</f>
        <v>24.252643054595357</v>
      </c>
      <c r="N10" s="462">
        <f>transport!N54</f>
        <v>0</v>
      </c>
      <c r="O10" s="462">
        <f>transport!O54</f>
        <v>0</v>
      </c>
      <c r="P10" s="463">
        <f>transport!P54</f>
        <v>0</v>
      </c>
      <c r="Q10" s="461">
        <f t="shared" si="0"/>
        <v>569.59352896398832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307.642</v>
      </c>
      <c r="C14" s="469"/>
      <c r="D14" s="469">
        <f>'SEAP template'!E25</f>
        <v>1170.4404537016201</v>
      </c>
      <c r="E14" s="469"/>
      <c r="F14" s="469"/>
      <c r="G14" s="469"/>
      <c r="H14" s="469"/>
      <c r="I14" s="469"/>
      <c r="J14" s="469"/>
      <c r="K14" s="469"/>
      <c r="L14" s="469"/>
      <c r="M14" s="469"/>
      <c r="N14" s="469"/>
      <c r="O14" s="469"/>
      <c r="P14" s="470"/>
      <c r="Q14" s="461">
        <f t="shared" si="0"/>
        <v>1478.0824537016201</v>
      </c>
    </row>
    <row r="15" spans="1:17" s="474" customFormat="1">
      <c r="A15" s="471" t="s">
        <v>568</v>
      </c>
      <c r="B15" s="472">
        <f ca="1">SUM(B4:B14)</f>
        <v>73718.255734216465</v>
      </c>
      <c r="C15" s="472">
        <f t="shared" ref="C15:Q15" ca="1" si="1">SUM(C4:C14)</f>
        <v>0</v>
      </c>
      <c r="D15" s="472">
        <f t="shared" ca="1" si="1"/>
        <v>199780.00122324299</v>
      </c>
      <c r="E15" s="472">
        <f t="shared" si="1"/>
        <v>8871.6119663137215</v>
      </c>
      <c r="F15" s="472">
        <f t="shared" ca="1" si="1"/>
        <v>67755.147334261012</v>
      </c>
      <c r="G15" s="472">
        <f t="shared" si="1"/>
        <v>57584.901477161315</v>
      </c>
      <c r="H15" s="472">
        <f t="shared" si="1"/>
        <v>11122.274315683811</v>
      </c>
      <c r="I15" s="472">
        <f t="shared" si="1"/>
        <v>0</v>
      </c>
      <c r="J15" s="472">
        <f t="shared" si="1"/>
        <v>3574.3614918640583</v>
      </c>
      <c r="K15" s="472">
        <f t="shared" si="1"/>
        <v>0</v>
      </c>
      <c r="L15" s="472">
        <f t="shared" ca="1" si="1"/>
        <v>0</v>
      </c>
      <c r="M15" s="472">
        <f t="shared" si="1"/>
        <v>3106.0521412488265</v>
      </c>
      <c r="N15" s="472">
        <f t="shared" ca="1" si="1"/>
        <v>28061.971958907685</v>
      </c>
      <c r="O15" s="472">
        <f t="shared" si="1"/>
        <v>200.10666666666668</v>
      </c>
      <c r="P15" s="472">
        <f t="shared" si="1"/>
        <v>228.8</v>
      </c>
      <c r="Q15" s="472">
        <f t="shared" ca="1" si="1"/>
        <v>454003.48430956656</v>
      </c>
    </row>
    <row r="17" spans="1:17">
      <c r="A17" s="475" t="s">
        <v>569</v>
      </c>
      <c r="B17" s="781">
        <f ca="1">huishoudens!B10</f>
        <v>0.20596083099148246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4764.0385893324792</v>
      </c>
      <c r="C22" s="462">
        <f t="shared" ref="C22:C32" ca="1" si="3">C4*$C$17</f>
        <v>0</v>
      </c>
      <c r="D22" s="462">
        <f t="shared" ref="D22:D32" si="4">D4*$D$17</f>
        <v>9343.3583956537259</v>
      </c>
      <c r="E22" s="462">
        <f t="shared" ref="E22:E32" si="5">E4*$E$17</f>
        <v>1451.8433536292987</v>
      </c>
      <c r="F22" s="462">
        <f t="shared" ref="F22:F32" si="6">F4*$F$17</f>
        <v>6435.6220472336527</v>
      </c>
      <c r="G22" s="462">
        <f t="shared" ref="G22:G32" si="7">G4*$G$17</f>
        <v>0</v>
      </c>
      <c r="H22" s="462">
        <f t="shared" ref="H22:H32" si="8">H4*$H$17</f>
        <v>0</v>
      </c>
      <c r="I22" s="462">
        <f t="shared" ref="I22:I32" si="9">I4*$I$17</f>
        <v>0</v>
      </c>
      <c r="J22" s="462">
        <f t="shared" ref="J22:J32" si="10">J4*$J$17</f>
        <v>1005.246225645838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23000.108611494994</v>
      </c>
    </row>
    <row r="23" spans="1:17">
      <c r="A23" s="461" t="s">
        <v>156</v>
      </c>
      <c r="B23" s="462">
        <f t="shared" ca="1" si="2"/>
        <v>3538.0748130463999</v>
      </c>
      <c r="C23" s="462">
        <f t="shared" ca="1" si="3"/>
        <v>0</v>
      </c>
      <c r="D23" s="462">
        <f t="shared" ca="1" si="4"/>
        <v>3254.2294202857806</v>
      </c>
      <c r="E23" s="462">
        <f t="shared" si="5"/>
        <v>52.408683150045334</v>
      </c>
      <c r="F23" s="462">
        <f t="shared" ca="1" si="6"/>
        <v>919.3767792880642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7764.0896957702907</v>
      </c>
    </row>
    <row r="24" spans="1:17">
      <c r="A24" s="461" t="s">
        <v>194</v>
      </c>
      <c r="B24" s="462">
        <f t="shared" ca="1" si="2"/>
        <v>172.57890546521398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172.57890546521398</v>
      </c>
    </row>
    <row r="25" spans="1:17">
      <c r="A25" s="461" t="s">
        <v>112</v>
      </c>
      <c r="B25" s="462">
        <f t="shared" ca="1" si="2"/>
        <v>940.19443775568675</v>
      </c>
      <c r="C25" s="462">
        <f t="shared" ca="1" si="3"/>
        <v>0</v>
      </c>
      <c r="D25" s="462">
        <f t="shared" si="4"/>
        <v>104.38142284581453</v>
      </c>
      <c r="E25" s="462">
        <f t="shared" si="5"/>
        <v>13.057915255601136</v>
      </c>
      <c r="F25" s="462">
        <f t="shared" si="6"/>
        <v>4205.2801468198322</v>
      </c>
      <c r="G25" s="462">
        <f t="shared" si="7"/>
        <v>0</v>
      </c>
      <c r="H25" s="462">
        <f t="shared" si="8"/>
        <v>0</v>
      </c>
      <c r="I25" s="462">
        <f t="shared" si="9"/>
        <v>0</v>
      </c>
      <c r="J25" s="462">
        <f t="shared" si="10"/>
        <v>243.02520276131349</v>
      </c>
      <c r="K25" s="462">
        <f t="shared" si="11"/>
        <v>0</v>
      </c>
      <c r="L25" s="462">
        <f t="shared" si="12"/>
        <v>0</v>
      </c>
      <c r="M25" s="462">
        <f t="shared" si="13"/>
        <v>0</v>
      </c>
      <c r="N25" s="462">
        <f t="shared" si="14"/>
        <v>0</v>
      </c>
      <c r="O25" s="462">
        <f t="shared" si="15"/>
        <v>0</v>
      </c>
      <c r="P25" s="463">
        <f t="shared" si="16"/>
        <v>0</v>
      </c>
      <c r="Q25" s="461">
        <f t="shared" ca="1" si="17"/>
        <v>5505.9391254382481</v>
      </c>
    </row>
    <row r="26" spans="1:17">
      <c r="A26" s="461" t="s">
        <v>657</v>
      </c>
      <c r="B26" s="462">
        <f t="shared" ca="1" si="2"/>
        <v>5704.0561738319375</v>
      </c>
      <c r="C26" s="462">
        <f t="shared" ca="1" si="3"/>
        <v>0</v>
      </c>
      <c r="D26" s="462">
        <f t="shared" si="4"/>
        <v>27415.641163117143</v>
      </c>
      <c r="E26" s="462">
        <f t="shared" si="5"/>
        <v>445.75196522763162</v>
      </c>
      <c r="F26" s="462">
        <f t="shared" si="6"/>
        <v>6530.3453649061412</v>
      </c>
      <c r="G26" s="462">
        <f t="shared" si="7"/>
        <v>0</v>
      </c>
      <c r="H26" s="462">
        <f t="shared" si="8"/>
        <v>0</v>
      </c>
      <c r="I26" s="462">
        <f t="shared" si="9"/>
        <v>0</v>
      </c>
      <c r="J26" s="462">
        <f t="shared" si="10"/>
        <v>17.052539712725178</v>
      </c>
      <c r="K26" s="462">
        <f t="shared" si="11"/>
        <v>0</v>
      </c>
      <c r="L26" s="462">
        <f t="shared" si="12"/>
        <v>0</v>
      </c>
      <c r="M26" s="462">
        <f t="shared" si="13"/>
        <v>0</v>
      </c>
      <c r="N26" s="462">
        <f t="shared" si="14"/>
        <v>0</v>
      </c>
      <c r="O26" s="462">
        <f t="shared" si="15"/>
        <v>0</v>
      </c>
      <c r="P26" s="463">
        <f t="shared" si="16"/>
        <v>0</v>
      </c>
      <c r="Q26" s="461">
        <f t="shared" ca="1" si="17"/>
        <v>40112.847206795581</v>
      </c>
    </row>
    <row r="27" spans="1:17" s="467" customFormat="1">
      <c r="A27" s="465" t="s">
        <v>574</v>
      </c>
      <c r="B27" s="775">
        <f t="shared" ca="1" si="2"/>
        <v>0.76808886223907924</v>
      </c>
      <c r="C27" s="466">
        <f t="shared" ca="1" si="3"/>
        <v>0</v>
      </c>
      <c r="D27" s="466">
        <f t="shared" si="4"/>
        <v>1.5208735448973294</v>
      </c>
      <c r="E27" s="466">
        <f t="shared" si="5"/>
        <v>50.793999090638408</v>
      </c>
      <c r="F27" s="466">
        <f t="shared" si="6"/>
        <v>0</v>
      </c>
      <c r="G27" s="466">
        <f t="shared" si="7"/>
        <v>15229.562677864265</v>
      </c>
      <c r="H27" s="466">
        <f t="shared" si="8"/>
        <v>2769.4463046052692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18052.091943967309</v>
      </c>
    </row>
    <row r="28" spans="1:17">
      <c r="A28" s="461" t="s">
        <v>564</v>
      </c>
      <c r="B28" s="462">
        <f t="shared" ca="1" si="2"/>
        <v>0</v>
      </c>
      <c r="C28" s="462">
        <f t="shared" ca="1" si="3"/>
        <v>0</v>
      </c>
      <c r="D28" s="462">
        <f t="shared" si="4"/>
        <v>0</v>
      </c>
      <c r="E28" s="462">
        <f t="shared" si="5"/>
        <v>0</v>
      </c>
      <c r="F28" s="462">
        <f t="shared" si="6"/>
        <v>0</v>
      </c>
      <c r="G28" s="462">
        <f t="shared" si="7"/>
        <v>145.6060165378079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145.6060165378079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63.362201967881646</v>
      </c>
      <c r="C32" s="462">
        <f t="shared" ca="1" si="3"/>
        <v>0</v>
      </c>
      <c r="D32" s="462">
        <f t="shared" si="4"/>
        <v>236.42897164772728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299.79117361560895</v>
      </c>
    </row>
    <row r="33" spans="1:17" s="474" customFormat="1">
      <c r="A33" s="471" t="s">
        <v>568</v>
      </c>
      <c r="B33" s="472">
        <f ca="1">SUM(B22:B32)</f>
        <v>15183.07321026184</v>
      </c>
      <c r="C33" s="472">
        <f t="shared" ref="C33:Q33" ca="1" si="18">SUM(C22:C32)</f>
        <v>0</v>
      </c>
      <c r="D33" s="472">
        <f t="shared" ca="1" si="18"/>
        <v>40355.560247095091</v>
      </c>
      <c r="E33" s="472">
        <f t="shared" si="18"/>
        <v>2013.8559163532152</v>
      </c>
      <c r="F33" s="472">
        <f t="shared" ca="1" si="18"/>
        <v>18090.62433824769</v>
      </c>
      <c r="G33" s="472">
        <f t="shared" si="18"/>
        <v>15375.168694402073</v>
      </c>
      <c r="H33" s="472">
        <f t="shared" si="18"/>
        <v>2769.4463046052692</v>
      </c>
      <c r="I33" s="472">
        <f t="shared" si="18"/>
        <v>0</v>
      </c>
      <c r="J33" s="472">
        <f t="shared" si="18"/>
        <v>1265.3239681198766</v>
      </c>
      <c r="K33" s="472">
        <f t="shared" si="18"/>
        <v>0</v>
      </c>
      <c r="L33" s="472">
        <f t="shared" ca="1" si="18"/>
        <v>0</v>
      </c>
      <c r="M33" s="472">
        <f t="shared" si="18"/>
        <v>0</v>
      </c>
      <c r="N33" s="472">
        <f t="shared" ca="1" si="18"/>
        <v>0</v>
      </c>
      <c r="O33" s="472">
        <f t="shared" si="18"/>
        <v>0</v>
      </c>
      <c r="P33" s="472">
        <f t="shared" si="18"/>
        <v>0</v>
      </c>
      <c r="Q33" s="472">
        <f t="shared" ca="1" si="18"/>
        <v>95053.052679085056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5016.567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5016.567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0.20596083099148246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0.20596083099148246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0.20596083099148246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0.20596083099148246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32011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4995</v>
      </c>
      <c r="C9" s="338">
        <v>4916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4036</v>
      </c>
    </row>
    <row r="15" spans="1:6">
      <c r="A15" s="1295" t="s">
        <v>184</v>
      </c>
      <c r="B15" s="335">
        <v>647</v>
      </c>
    </row>
    <row r="16" spans="1:6">
      <c r="A16" s="1295" t="s">
        <v>6</v>
      </c>
      <c r="B16" s="335">
        <v>1077</v>
      </c>
    </row>
    <row r="17" spans="1:6">
      <c r="A17" s="1295" t="s">
        <v>7</v>
      </c>
      <c r="B17" s="335">
        <v>1166</v>
      </c>
    </row>
    <row r="18" spans="1:6">
      <c r="A18" s="1295" t="s">
        <v>8</v>
      </c>
      <c r="B18" s="335">
        <v>1880</v>
      </c>
    </row>
    <row r="19" spans="1:6">
      <c r="A19" s="1295" t="s">
        <v>9</v>
      </c>
      <c r="B19" s="335">
        <v>1794</v>
      </c>
    </row>
    <row r="20" spans="1:6">
      <c r="A20" s="1295" t="s">
        <v>10</v>
      </c>
      <c r="B20" s="335">
        <v>899</v>
      </c>
    </row>
    <row r="21" spans="1:6">
      <c r="A21" s="1295" t="s">
        <v>11</v>
      </c>
      <c r="B21" s="335">
        <v>28178</v>
      </c>
    </row>
    <row r="22" spans="1:6">
      <c r="A22" s="1295" t="s">
        <v>12</v>
      </c>
      <c r="B22" s="335">
        <v>72934</v>
      </c>
    </row>
    <row r="23" spans="1:6">
      <c r="A23" s="1295" t="s">
        <v>13</v>
      </c>
      <c r="B23" s="335">
        <v>1447</v>
      </c>
    </row>
    <row r="24" spans="1:6">
      <c r="A24" s="1295" t="s">
        <v>14</v>
      </c>
      <c r="B24" s="335">
        <v>65</v>
      </c>
    </row>
    <row r="25" spans="1:6">
      <c r="A25" s="1295" t="s">
        <v>15</v>
      </c>
      <c r="B25" s="335">
        <v>6683</v>
      </c>
    </row>
    <row r="26" spans="1:6">
      <c r="A26" s="1295" t="s">
        <v>16</v>
      </c>
      <c r="B26" s="335">
        <v>454</v>
      </c>
    </row>
    <row r="27" spans="1:6">
      <c r="A27" s="1295" t="s">
        <v>17</v>
      </c>
      <c r="B27" s="335">
        <v>7</v>
      </c>
    </row>
    <row r="28" spans="1:6" s="341" customFormat="1">
      <c r="A28" s="1296" t="s">
        <v>18</v>
      </c>
      <c r="B28" s="1296">
        <v>108139</v>
      </c>
    </row>
    <row r="29" spans="1:6">
      <c r="A29" s="1296" t="s">
        <v>909</v>
      </c>
      <c r="B29" s="1296">
        <v>197</v>
      </c>
      <c r="C29" s="341"/>
      <c r="D29" s="341"/>
      <c r="E29" s="341"/>
      <c r="F29" s="341"/>
    </row>
    <row r="30" spans="1:6">
      <c r="A30" s="1291" t="s">
        <v>910</v>
      </c>
      <c r="B30" s="1291">
        <v>12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3</v>
      </c>
      <c r="D36" s="335">
        <v>123122.253259337</v>
      </c>
      <c r="E36" s="335">
        <v>9</v>
      </c>
      <c r="F36" s="335">
        <v>41672</v>
      </c>
    </row>
    <row r="37" spans="1:6">
      <c r="A37" s="1295" t="s">
        <v>25</v>
      </c>
      <c r="B37" s="1295" t="s">
        <v>28</v>
      </c>
      <c r="C37" s="335">
        <v>0</v>
      </c>
      <c r="D37" s="335">
        <v>0</v>
      </c>
      <c r="E37" s="335">
        <v>0</v>
      </c>
      <c r="F37" s="335">
        <v>0</v>
      </c>
    </row>
    <row r="38" spans="1:6">
      <c r="A38" s="1295" t="s">
        <v>25</v>
      </c>
      <c r="B38" s="1295" t="s">
        <v>29</v>
      </c>
      <c r="C38" s="335">
        <v>2</v>
      </c>
      <c r="D38" s="335">
        <v>210350.84780709201</v>
      </c>
      <c r="E38" s="335">
        <v>1</v>
      </c>
      <c r="F38" s="335">
        <v>1814</v>
      </c>
    </row>
    <row r="39" spans="1:6">
      <c r="A39" s="1295" t="s">
        <v>30</v>
      </c>
      <c r="B39" s="1295" t="s">
        <v>31</v>
      </c>
      <c r="C39" s="335">
        <v>2810</v>
      </c>
      <c r="D39" s="335">
        <v>51279655.746601202</v>
      </c>
      <c r="E39" s="335">
        <v>4743</v>
      </c>
      <c r="F39" s="335">
        <v>20280160.02813898</v>
      </c>
    </row>
    <row r="40" spans="1:6">
      <c r="A40" s="1295" t="s">
        <v>30</v>
      </c>
      <c r="B40" s="1295" t="s">
        <v>29</v>
      </c>
      <c r="C40" s="335">
        <v>0</v>
      </c>
      <c r="D40" s="335">
        <v>0</v>
      </c>
      <c r="E40" s="335">
        <v>0</v>
      </c>
      <c r="F40" s="335">
        <v>0</v>
      </c>
    </row>
    <row r="41" spans="1:6">
      <c r="A41" s="1295" t="s">
        <v>32</v>
      </c>
      <c r="B41" s="1295" t="s">
        <v>33</v>
      </c>
      <c r="C41" s="335">
        <v>44</v>
      </c>
      <c r="D41" s="335">
        <v>890537.02332222601</v>
      </c>
      <c r="E41" s="335">
        <v>147</v>
      </c>
      <c r="F41" s="335">
        <v>2924234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15</v>
      </c>
      <c r="D44" s="335">
        <v>1395354.4100962901</v>
      </c>
      <c r="E44" s="335">
        <v>39</v>
      </c>
      <c r="F44" s="335">
        <v>2384992</v>
      </c>
    </row>
    <row r="45" spans="1:6">
      <c r="A45" s="1295" t="s">
        <v>32</v>
      </c>
      <c r="B45" s="1295" t="s">
        <v>37</v>
      </c>
      <c r="C45" s="335">
        <v>0</v>
      </c>
      <c r="D45" s="335">
        <v>0</v>
      </c>
      <c r="E45" s="335">
        <v>4</v>
      </c>
      <c r="F45" s="335">
        <v>8627148</v>
      </c>
    </row>
    <row r="46" spans="1:6">
      <c r="A46" s="1295" t="s">
        <v>32</v>
      </c>
      <c r="B46" s="1295" t="s">
        <v>38</v>
      </c>
      <c r="C46" s="335">
        <v>0</v>
      </c>
      <c r="D46" s="335">
        <v>0</v>
      </c>
      <c r="E46" s="335">
        <v>0</v>
      </c>
      <c r="F46" s="335">
        <v>0</v>
      </c>
    </row>
    <row r="47" spans="1:6">
      <c r="A47" s="1295" t="s">
        <v>32</v>
      </c>
      <c r="B47" s="1295" t="s">
        <v>39</v>
      </c>
      <c r="C47" s="335">
        <v>0</v>
      </c>
      <c r="D47" s="335">
        <v>0</v>
      </c>
      <c r="E47" s="335">
        <v>3</v>
      </c>
      <c r="F47" s="335">
        <v>1127132</v>
      </c>
    </row>
    <row r="48" spans="1:6">
      <c r="A48" s="1295" t="s">
        <v>32</v>
      </c>
      <c r="B48" s="1295" t="s">
        <v>29</v>
      </c>
      <c r="C48" s="335">
        <v>20</v>
      </c>
      <c r="D48" s="335">
        <v>99649796.108073995</v>
      </c>
      <c r="E48" s="335">
        <v>3</v>
      </c>
      <c r="F48" s="335">
        <v>217802</v>
      </c>
    </row>
    <row r="49" spans="1:6">
      <c r="A49" s="1295" t="s">
        <v>32</v>
      </c>
      <c r="B49" s="1295" t="s">
        <v>40</v>
      </c>
      <c r="C49" s="335">
        <v>0</v>
      </c>
      <c r="D49" s="335">
        <v>0</v>
      </c>
      <c r="E49" s="335">
        <v>0</v>
      </c>
      <c r="F49" s="335">
        <v>0</v>
      </c>
    </row>
    <row r="50" spans="1:6">
      <c r="A50" s="1295" t="s">
        <v>32</v>
      </c>
      <c r="B50" s="1295" t="s">
        <v>41</v>
      </c>
      <c r="C50" s="335">
        <v>13</v>
      </c>
      <c r="D50" s="335">
        <v>48531048.441895001</v>
      </c>
      <c r="E50" s="335">
        <v>22</v>
      </c>
      <c r="F50" s="335">
        <v>12413551</v>
      </c>
    </row>
    <row r="51" spans="1:6">
      <c r="A51" s="1295" t="s">
        <v>42</v>
      </c>
      <c r="B51" s="1295" t="s">
        <v>43</v>
      </c>
      <c r="C51" s="335">
        <v>16</v>
      </c>
      <c r="D51" s="335">
        <v>475547.79582129902</v>
      </c>
      <c r="E51" s="335">
        <v>229</v>
      </c>
      <c r="F51" s="335">
        <v>4560732</v>
      </c>
    </row>
    <row r="52" spans="1:6">
      <c r="A52" s="1295" t="s">
        <v>42</v>
      </c>
      <c r="B52" s="1295" t="s">
        <v>29</v>
      </c>
      <c r="C52" s="335">
        <v>5</v>
      </c>
      <c r="D52" s="335">
        <v>97334.373866603099</v>
      </c>
      <c r="E52" s="335">
        <v>1</v>
      </c>
      <c r="F52" s="335">
        <v>4186.6460826067996</v>
      </c>
    </row>
    <row r="53" spans="1:6">
      <c r="A53" s="1295" t="s">
        <v>44</v>
      </c>
      <c r="B53" s="1295" t="s">
        <v>45</v>
      </c>
      <c r="C53" s="335">
        <v>59</v>
      </c>
      <c r="D53" s="335">
        <v>1170440.45370162</v>
      </c>
      <c r="E53" s="335">
        <v>0</v>
      </c>
      <c r="F53" s="335">
        <v>0</v>
      </c>
    </row>
    <row r="54" spans="1:6">
      <c r="A54" s="1295" t="s">
        <v>46</v>
      </c>
      <c r="B54" s="1295" t="s">
        <v>47</v>
      </c>
      <c r="C54" s="335">
        <v>0</v>
      </c>
      <c r="D54" s="335">
        <v>0</v>
      </c>
      <c r="E54" s="335">
        <v>31</v>
      </c>
      <c r="F54" s="335">
        <v>837921</v>
      </c>
    </row>
    <row r="55" spans="1:6">
      <c r="A55" s="1295" t="s">
        <v>46</v>
      </c>
      <c r="B55" s="1295" t="s">
        <v>29</v>
      </c>
      <c r="C55" s="335">
        <v>0</v>
      </c>
      <c r="D55" s="335">
        <v>0</v>
      </c>
      <c r="E55" s="335">
        <v>0</v>
      </c>
      <c r="F55" s="335">
        <v>0</v>
      </c>
    </row>
    <row r="56" spans="1:6">
      <c r="A56" s="1295" t="s">
        <v>48</v>
      </c>
      <c r="B56" s="1295" t="s">
        <v>29</v>
      </c>
      <c r="C56" s="335">
        <v>0</v>
      </c>
      <c r="D56" s="335">
        <v>0</v>
      </c>
      <c r="E56" s="335">
        <v>71</v>
      </c>
      <c r="F56" s="335">
        <v>307642</v>
      </c>
    </row>
    <row r="57" spans="1:6">
      <c r="A57" s="1295" t="s">
        <v>49</v>
      </c>
      <c r="B57" s="1295" t="s">
        <v>50</v>
      </c>
      <c r="C57" s="335">
        <v>17</v>
      </c>
      <c r="D57" s="335">
        <v>468965.06450268498</v>
      </c>
      <c r="E57" s="335">
        <v>106</v>
      </c>
      <c r="F57" s="335">
        <v>2554203</v>
      </c>
    </row>
    <row r="58" spans="1:6">
      <c r="A58" s="1295" t="s">
        <v>49</v>
      </c>
      <c r="B58" s="1295" t="s">
        <v>51</v>
      </c>
      <c r="C58" s="335">
        <v>10</v>
      </c>
      <c r="D58" s="335">
        <v>175451.77232672001</v>
      </c>
      <c r="E58" s="335">
        <v>13</v>
      </c>
      <c r="F58" s="335">
        <v>564872</v>
      </c>
    </row>
    <row r="59" spans="1:6">
      <c r="A59" s="1295" t="s">
        <v>49</v>
      </c>
      <c r="B59" s="1295" t="s">
        <v>52</v>
      </c>
      <c r="C59" s="335">
        <v>38</v>
      </c>
      <c r="D59" s="335">
        <v>1662901.46070503</v>
      </c>
      <c r="E59" s="335">
        <v>173</v>
      </c>
      <c r="F59" s="335">
        <v>11326239</v>
      </c>
    </row>
    <row r="60" spans="1:6">
      <c r="A60" s="1295" t="s">
        <v>49</v>
      </c>
      <c r="B60" s="1295" t="s">
        <v>53</v>
      </c>
      <c r="C60" s="335">
        <v>34</v>
      </c>
      <c r="D60" s="335">
        <v>6388965.7168712299</v>
      </c>
      <c r="E60" s="335">
        <v>45</v>
      </c>
      <c r="F60" s="335">
        <v>873984</v>
      </c>
    </row>
    <row r="61" spans="1:6">
      <c r="A61" s="1295" t="s">
        <v>49</v>
      </c>
      <c r="B61" s="1295" t="s">
        <v>54</v>
      </c>
      <c r="C61" s="335">
        <v>73</v>
      </c>
      <c r="D61" s="335">
        <v>5977638.2788364897</v>
      </c>
      <c r="E61" s="335">
        <v>173</v>
      </c>
      <c r="F61" s="335">
        <v>1436197</v>
      </c>
    </row>
    <row r="62" spans="1:6">
      <c r="A62" s="1295" t="s">
        <v>49</v>
      </c>
      <c r="B62" s="1295" t="s">
        <v>55</v>
      </c>
      <c r="C62" s="335">
        <v>0</v>
      </c>
      <c r="D62" s="335">
        <v>0</v>
      </c>
      <c r="E62" s="335">
        <v>9</v>
      </c>
      <c r="F62" s="335">
        <v>416470</v>
      </c>
    </row>
    <row r="63" spans="1:6">
      <c r="A63" s="1295" t="s">
        <v>49</v>
      </c>
      <c r="B63" s="1295" t="s">
        <v>29</v>
      </c>
      <c r="C63" s="335">
        <v>81</v>
      </c>
      <c r="D63" s="335">
        <v>3186439.8299043202</v>
      </c>
      <c r="E63" s="335">
        <v>1</v>
      </c>
      <c r="F63" s="335">
        <v>6421.7641936137998</v>
      </c>
    </row>
    <row r="64" spans="1:6">
      <c r="A64" s="1295" t="s">
        <v>56</v>
      </c>
      <c r="B64" s="1295" t="s">
        <v>57</v>
      </c>
      <c r="C64" s="335">
        <v>0</v>
      </c>
      <c r="D64" s="335">
        <v>0</v>
      </c>
      <c r="E64" s="335">
        <v>0</v>
      </c>
      <c r="F64" s="335">
        <v>0</v>
      </c>
    </row>
    <row r="65" spans="1:6">
      <c r="A65" s="1295" t="s">
        <v>56</v>
      </c>
      <c r="B65" s="1295" t="s">
        <v>29</v>
      </c>
      <c r="C65" s="335">
        <v>1</v>
      </c>
      <c r="D65" s="335">
        <v>7561.3487629507999</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66590.781663063201</v>
      </c>
      <c r="E68" s="335">
        <v>25</v>
      </c>
      <c r="F68" s="335">
        <v>334411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31105504</v>
      </c>
      <c r="E73" s="335">
        <v>34285029.638217665</v>
      </c>
    </row>
    <row r="74" spans="1:6">
      <c r="A74" s="1295" t="s">
        <v>64</v>
      </c>
      <c r="B74" s="1295" t="s">
        <v>727</v>
      </c>
      <c r="C74" s="1295" t="s">
        <v>728</v>
      </c>
      <c r="D74" s="335">
        <v>3417007.0909913243</v>
      </c>
      <c r="E74" s="335">
        <v>3681867.8422957384</v>
      </c>
    </row>
    <row r="75" spans="1:6">
      <c r="A75" s="1295" t="s">
        <v>65</v>
      </c>
      <c r="B75" s="1295" t="s">
        <v>725</v>
      </c>
      <c r="C75" s="1295" t="s">
        <v>729</v>
      </c>
      <c r="D75" s="335">
        <v>37191681</v>
      </c>
      <c r="E75" s="335">
        <v>37280350.526985146</v>
      </c>
    </row>
    <row r="76" spans="1:6">
      <c r="A76" s="1295" t="s">
        <v>65</v>
      </c>
      <c r="B76" s="1295" t="s">
        <v>727</v>
      </c>
      <c r="C76" s="1295" t="s">
        <v>730</v>
      </c>
      <c r="D76" s="335">
        <v>2803635.0909913243</v>
      </c>
      <c r="E76" s="335">
        <v>2752007.4920520177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150479.81801735121</v>
      </c>
      <c r="C83" s="335">
        <v>151377.58266388567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2850.6390000000001</v>
      </c>
    </row>
    <row r="92" spans="1:6">
      <c r="A92" s="1291" t="s">
        <v>69</v>
      </c>
      <c r="B92" s="338">
        <v>2165.9279999999999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1808</v>
      </c>
    </row>
    <row r="98" spans="1:6">
      <c r="A98" s="1295" t="s">
        <v>72</v>
      </c>
      <c r="B98" s="335">
        <v>0</v>
      </c>
    </row>
    <row r="99" spans="1:6">
      <c r="A99" s="1295" t="s">
        <v>73</v>
      </c>
      <c r="B99" s="335">
        <v>168</v>
      </c>
    </row>
    <row r="100" spans="1:6">
      <c r="A100" s="1295" t="s">
        <v>74</v>
      </c>
      <c r="B100" s="335">
        <v>328</v>
      </c>
    </row>
    <row r="101" spans="1:6">
      <c r="A101" s="1295" t="s">
        <v>75</v>
      </c>
      <c r="B101" s="335">
        <v>134</v>
      </c>
    </row>
    <row r="102" spans="1:6">
      <c r="A102" s="1295" t="s">
        <v>76</v>
      </c>
      <c r="B102" s="335">
        <v>74</v>
      </c>
    </row>
    <row r="103" spans="1:6">
      <c r="A103" s="1295" t="s">
        <v>77</v>
      </c>
      <c r="B103" s="335">
        <v>170</v>
      </c>
    </row>
    <row r="104" spans="1:6">
      <c r="A104" s="1295" t="s">
        <v>78</v>
      </c>
      <c r="B104" s="335">
        <v>1855</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120</v>
      </c>
    </row>
    <row r="130" spans="1:6">
      <c r="A130" s="1295" t="s">
        <v>295</v>
      </c>
      <c r="B130" s="335">
        <v>5</v>
      </c>
    </row>
    <row r="131" spans="1:6">
      <c r="A131" s="1295" t="s">
        <v>296</v>
      </c>
      <c r="B131" s="335">
        <v>1</v>
      </c>
    </row>
    <row r="132" spans="1:6">
      <c r="A132" s="1291" t="s">
        <v>297</v>
      </c>
      <c r="B132" s="338">
        <v>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73718.255734216465</v>
      </c>
      <c r="C3" s="43" t="s">
        <v>170</v>
      </c>
      <c r="D3" s="43"/>
      <c r="E3" s="156"/>
      <c r="F3" s="43"/>
      <c r="G3" s="43"/>
      <c r="H3" s="43"/>
      <c r="I3" s="43"/>
      <c r="J3" s="43"/>
      <c r="K3" s="96"/>
    </row>
    <row r="4" spans="1:11">
      <c r="A4" s="366" t="s">
        <v>171</v>
      </c>
      <c r="B4" s="49">
        <f>IF(ISERROR('SEAP template'!B78+'SEAP template'!C78),0,'SEAP template'!B78+'SEAP template'!C78)</f>
        <v>5016.567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0.20596083099148246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837.92100000000005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837.92100000000005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0.20596083099148246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172.57890546521398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20280.16002813898</v>
      </c>
      <c r="C5" s="17">
        <f>IF(ISERROR('Eigen informatie GS &amp; warmtenet'!B57),0,'Eigen informatie GS &amp; warmtenet'!B57)</f>
        <v>0</v>
      </c>
      <c r="D5" s="30">
        <f>(SUM(HH_hh_gas_kWh,HH_rest_gas_kWh)/1000)*0.902</f>
        <v>46254.249483434287</v>
      </c>
      <c r="E5" s="17">
        <f>B46*B57</f>
        <v>6395.7856988074827</v>
      </c>
      <c r="F5" s="17">
        <f>B51*B62</f>
        <v>24103.453360425665</v>
      </c>
      <c r="G5" s="18"/>
      <c r="H5" s="17"/>
      <c r="I5" s="17"/>
      <c r="J5" s="17">
        <f>B50*B61+C50*C61</f>
        <v>2839.6786035193163</v>
      </c>
      <c r="K5" s="17"/>
      <c r="L5" s="17"/>
      <c r="M5" s="17"/>
      <c r="N5" s="17">
        <f>B48*B59+C48*C59</f>
        <v>19124.779967419028</v>
      </c>
      <c r="O5" s="17">
        <f>B69*B70*B71</f>
        <v>192.29000000000002</v>
      </c>
      <c r="P5" s="17">
        <f>B77*B78*B79/1000-B77*B78*B79/1000/B80</f>
        <v>209.73333333333335</v>
      </c>
    </row>
    <row r="6" spans="1:16">
      <c r="A6" s="16" t="s">
        <v>634</v>
      </c>
      <c r="B6" s="783">
        <f>kWh_PV_kleiner_dan_10kW</f>
        <v>2850.6390000000001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23130.799028138979</v>
      </c>
      <c r="C8" s="21">
        <f>C5</f>
        <v>0</v>
      </c>
      <c r="D8" s="21">
        <f>D5</f>
        <v>46254.249483434287</v>
      </c>
      <c r="E8" s="21">
        <f>E5</f>
        <v>6395.7856988074827</v>
      </c>
      <c r="F8" s="21">
        <f>F5</f>
        <v>24103.453360425665</v>
      </c>
      <c r="G8" s="21"/>
      <c r="H8" s="21"/>
      <c r="I8" s="21"/>
      <c r="J8" s="21">
        <f>J5</f>
        <v>2839.6786035193163</v>
      </c>
      <c r="K8" s="21"/>
      <c r="L8" s="21">
        <f>L5</f>
        <v>0</v>
      </c>
      <c r="M8" s="21">
        <f>M5</f>
        <v>0</v>
      </c>
      <c r="N8" s="21">
        <f>N5</f>
        <v>19124.779967419028</v>
      </c>
      <c r="O8" s="21">
        <f>O5</f>
        <v>192.29000000000002</v>
      </c>
      <c r="P8" s="21">
        <f>P5</f>
        <v>209.73333333333335</v>
      </c>
    </row>
    <row r="9" spans="1:16">
      <c r="B9" s="19"/>
      <c r="C9" s="19"/>
      <c r="D9" s="261"/>
      <c r="E9" s="19"/>
      <c r="F9" s="19"/>
      <c r="G9" s="19"/>
      <c r="H9" s="19"/>
      <c r="I9" s="19"/>
      <c r="J9" s="19"/>
      <c r="K9" s="19"/>
      <c r="L9" s="19"/>
      <c r="M9" s="19"/>
      <c r="N9" s="19"/>
      <c r="O9" s="19"/>
      <c r="P9" s="19"/>
    </row>
    <row r="10" spans="1:16">
      <c r="A10" s="24" t="s">
        <v>214</v>
      </c>
      <c r="B10" s="25">
        <f ca="1">'EF ele_warmte'!B12</f>
        <v>0.20596083099148246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4764.0385893324792</v>
      </c>
      <c r="C12" s="23">
        <f ca="1">C10*C8</f>
        <v>0</v>
      </c>
      <c r="D12" s="23">
        <f>D8*D10</f>
        <v>9343.3583956537259</v>
      </c>
      <c r="E12" s="23">
        <f>E10*E8</f>
        <v>1451.8433536292987</v>
      </c>
      <c r="F12" s="23">
        <f>F10*F8</f>
        <v>6435.6220472336527</v>
      </c>
      <c r="G12" s="23"/>
      <c r="H12" s="23"/>
      <c r="I12" s="23"/>
      <c r="J12" s="23">
        <f>J10*J8</f>
        <v>1005.246225645838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1808</v>
      </c>
      <c r="C18" s="168" t="s">
        <v>111</v>
      </c>
      <c r="D18" s="230"/>
      <c r="E18" s="15"/>
    </row>
    <row r="19" spans="1:7">
      <c r="A19" s="173" t="s">
        <v>72</v>
      </c>
      <c r="B19" s="37">
        <f>aantalw2001_ander</f>
        <v>0</v>
      </c>
      <c r="C19" s="168" t="s">
        <v>111</v>
      </c>
      <c r="D19" s="231"/>
      <c r="E19" s="15"/>
    </row>
    <row r="20" spans="1:7">
      <c r="A20" s="173" t="s">
        <v>73</v>
      </c>
      <c r="B20" s="37">
        <f>aantalw2001_propaan</f>
        <v>168</v>
      </c>
      <c r="C20" s="169">
        <f>IF(ISERROR(B20/SUM($B$20,$B$21,$B$22)*100),0,B20/SUM($B$20,$B$21,$B$22)*100)</f>
        <v>26.666666666666668</v>
      </c>
      <c r="D20" s="231"/>
      <c r="E20" s="15"/>
    </row>
    <row r="21" spans="1:7">
      <c r="A21" s="173" t="s">
        <v>74</v>
      </c>
      <c r="B21" s="37">
        <f>aantalw2001_elektriciteit</f>
        <v>328</v>
      </c>
      <c r="C21" s="169">
        <f>IF(ISERROR(B21/SUM($B$20,$B$21,$B$22)*100),0,B21/SUM($B$20,$B$21,$B$22)*100)</f>
        <v>52.06349206349207</v>
      </c>
      <c r="D21" s="231"/>
      <c r="E21" s="15"/>
    </row>
    <row r="22" spans="1:7">
      <c r="A22" s="173" t="s">
        <v>75</v>
      </c>
      <c r="B22" s="37">
        <f>aantalw2001_hout</f>
        <v>134</v>
      </c>
      <c r="C22" s="169">
        <f>IF(ISERROR(B22/SUM($B$20,$B$21,$B$22)*100),0,B22/SUM($B$20,$B$21,$B$22)*100)</f>
        <v>21.269841269841269</v>
      </c>
      <c r="D22" s="231"/>
      <c r="E22" s="15"/>
    </row>
    <row r="23" spans="1:7">
      <c r="A23" s="173" t="s">
        <v>76</v>
      </c>
      <c r="B23" s="37">
        <f>aantalw2001_niet_gespec</f>
        <v>74</v>
      </c>
      <c r="C23" s="168" t="s">
        <v>111</v>
      </c>
      <c r="D23" s="230"/>
      <c r="E23" s="15"/>
    </row>
    <row r="24" spans="1:7">
      <c r="A24" s="173" t="s">
        <v>77</v>
      </c>
      <c r="B24" s="37">
        <f>aantalw2001_steenkool</f>
        <v>170</v>
      </c>
      <c r="C24" s="168" t="s">
        <v>111</v>
      </c>
      <c r="D24" s="231"/>
      <c r="E24" s="15"/>
    </row>
    <row r="25" spans="1:7">
      <c r="A25" s="173" t="s">
        <v>78</v>
      </c>
      <c r="B25" s="37">
        <f>aantalw2001_stookolie</f>
        <v>1855</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4995</v>
      </c>
      <c r="C28" s="36"/>
      <c r="D28" s="230"/>
    </row>
    <row r="29" spans="1:7" s="15" customFormat="1">
      <c r="A29" s="232" t="s">
        <v>746</v>
      </c>
      <c r="B29" s="37">
        <f>SUM(HH_hh_gas_aantal,HH_rest_gas_aantal)</f>
        <v>2810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2810</v>
      </c>
      <c r="C32" s="169">
        <f>IF(ISERROR(B32/SUM($B$32,$B$34,$B$35,$B$36,$B$38,$B$39)*100),0,B32/SUM($B$32,$B$34,$B$35,$B$36,$B$38,$B$39)*100)</f>
        <v>56.380417335473524</v>
      </c>
      <c r="D32" s="235"/>
      <c r="G32" s="15"/>
    </row>
    <row r="33" spans="1:7">
      <c r="A33" s="173" t="s">
        <v>72</v>
      </c>
      <c r="B33" s="34" t="s">
        <v>111</v>
      </c>
      <c r="C33" s="169"/>
      <c r="D33" s="235"/>
      <c r="G33" s="15"/>
    </row>
    <row r="34" spans="1:7">
      <c r="A34" s="173" t="s">
        <v>73</v>
      </c>
      <c r="B34" s="33">
        <f>IF((($B$28-$B$32-$B$39-$B$77-$B$38)*C20/100)&lt;0,0,($B$28-$B$32-$B$39-$B$77-$B$38)*C20/100)</f>
        <v>306.93333333333339</v>
      </c>
      <c r="C34" s="169">
        <f>IF(ISERROR(B34/SUM($B$32,$B$34,$B$35,$B$36,$B$38,$B$39)*100),0,B34/SUM($B$32,$B$34,$B$35,$B$36,$B$38,$B$39)*100)</f>
        <v>6.1583734617442492</v>
      </c>
      <c r="D34" s="235"/>
      <c r="G34" s="15"/>
    </row>
    <row r="35" spans="1:7">
      <c r="A35" s="173" t="s">
        <v>74</v>
      </c>
      <c r="B35" s="33">
        <f>IF((($B$28-$B$32-$B$39-$B$77-$B$38)*C21/100)&lt;0,0,($B$28-$B$32-$B$39-$B$77-$B$38)*C21/100)</f>
        <v>599.25079365079387</v>
      </c>
      <c r="C35" s="169">
        <f>IF(ISERROR(B35/SUM($B$32,$B$34,$B$35,$B$36,$B$38,$B$39)*100),0,B35/SUM($B$32,$B$34,$B$35,$B$36,$B$38,$B$39)*100)</f>
        <v>12.023491044357822</v>
      </c>
      <c r="D35" s="235"/>
      <c r="G35" s="15"/>
    </row>
    <row r="36" spans="1:7">
      <c r="A36" s="173" t="s">
        <v>75</v>
      </c>
      <c r="B36" s="33">
        <f>IF((($B$28-$B$32-$B$39-$B$77-$B$38)*C22/100)&lt;0,0,($B$28-$B$32-$B$39-$B$77-$B$38)*C22/100)</f>
        <v>244.81587301587305</v>
      </c>
      <c r="C36" s="169">
        <f>IF(ISERROR(B36/SUM($B$32,$B$34,$B$35,$B$36,$B$38,$B$39)*100),0,B36/SUM($B$32,$B$34,$B$35,$B$36,$B$38,$B$39)*100)</f>
        <v>4.9120359754388652</v>
      </c>
      <c r="D36" s="235"/>
      <c r="G36" s="15"/>
    </row>
    <row r="37" spans="1:7">
      <c r="A37" s="173" t="s">
        <v>76</v>
      </c>
      <c r="B37" s="34" t="s">
        <v>111</v>
      </c>
      <c r="C37" s="169"/>
      <c r="D37" s="175"/>
      <c r="G37" s="15"/>
    </row>
    <row r="38" spans="1:7">
      <c r="A38" s="173" t="s">
        <v>77</v>
      </c>
      <c r="B38" s="33">
        <f>IF((B24-(B29-B18)*0.1)&lt;0,0,B24-(B29-B18)*0.1)</f>
        <v>69.8</v>
      </c>
      <c r="C38" s="169">
        <f>IF(ISERROR(B38/SUM($B$32,$B$34,$B$35,$B$36,$B$38,$B$39)*100),0,B38/SUM($B$32,$B$34,$B$35,$B$36,$B$38,$B$39)*100)</f>
        <v>1.4004815409309792</v>
      </c>
      <c r="D38" s="236"/>
      <c r="G38" s="15"/>
    </row>
    <row r="39" spans="1:7">
      <c r="A39" s="173" t="s">
        <v>78</v>
      </c>
      <c r="B39" s="33">
        <f>IF((B25-(B29-B18))&lt;0,0,B25-(B29-B18)*0.9)</f>
        <v>953.19999999999993</v>
      </c>
      <c r="C39" s="169">
        <f>IF(ISERROR(B39/SUM($B$32,$B$34,$B$35,$B$36,$B$38,$B$39)*100),0,B39/SUM($B$32,$B$34,$B$35,$B$36,$B$38,$B$39)*100)</f>
        <v>19.125200642054573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2810</v>
      </c>
      <c r="C44" s="34" t="s">
        <v>111</v>
      </c>
      <c r="D44" s="176"/>
    </row>
    <row r="45" spans="1:7">
      <c r="A45" s="173" t="s">
        <v>72</v>
      </c>
      <c r="B45" s="33" t="str">
        <f t="shared" si="0"/>
        <v>-</v>
      </c>
      <c r="C45" s="34" t="s">
        <v>111</v>
      </c>
      <c r="D45" s="176"/>
    </row>
    <row r="46" spans="1:7">
      <c r="A46" s="173" t="s">
        <v>73</v>
      </c>
      <c r="B46" s="33">
        <f t="shared" si="0"/>
        <v>306.93333333333339</v>
      </c>
      <c r="C46" s="34" t="s">
        <v>111</v>
      </c>
      <c r="D46" s="176"/>
    </row>
    <row r="47" spans="1:7">
      <c r="A47" s="173" t="s">
        <v>74</v>
      </c>
      <c r="B47" s="33">
        <f t="shared" si="0"/>
        <v>599.25079365079387</v>
      </c>
      <c r="C47" s="34" t="s">
        <v>111</v>
      </c>
      <c r="D47" s="176"/>
    </row>
    <row r="48" spans="1:7">
      <c r="A48" s="173" t="s">
        <v>75</v>
      </c>
      <c r="B48" s="33">
        <f t="shared" si="0"/>
        <v>244.81587301587305</v>
      </c>
      <c r="C48" s="33">
        <f>B48*10</f>
        <v>2448.1587301587306</v>
      </c>
      <c r="D48" s="236"/>
    </row>
    <row r="49" spans="1:6">
      <c r="A49" s="173" t="s">
        <v>76</v>
      </c>
      <c r="B49" s="33" t="str">
        <f t="shared" si="0"/>
        <v>-</v>
      </c>
      <c r="C49" s="34" t="s">
        <v>111</v>
      </c>
      <c r="D49" s="236"/>
    </row>
    <row r="50" spans="1:6">
      <c r="A50" s="173" t="s">
        <v>77</v>
      </c>
      <c r="B50" s="33">
        <f t="shared" si="0"/>
        <v>69.8</v>
      </c>
      <c r="C50" s="33">
        <f>B50*2</f>
        <v>139.6</v>
      </c>
      <c r="D50" s="236"/>
    </row>
    <row r="51" spans="1:6">
      <c r="A51" s="173" t="s">
        <v>78</v>
      </c>
      <c r="B51" s="33">
        <f t="shared" si="0"/>
        <v>953.19999999999993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17178.386764193612</v>
      </c>
      <c r="C5" s="17">
        <f>IF(ISERROR('Eigen informatie GS &amp; warmtenet'!B58),0,'Eigen informatie GS &amp; warmtenet'!B58)</f>
        <v>0</v>
      </c>
      <c r="D5" s="30">
        <f>SUM(D6:D12)</f>
        <v>16110.046635078121</v>
      </c>
      <c r="E5" s="17">
        <f>SUM(E6:E12)</f>
        <v>230.87525616760058</v>
      </c>
      <c r="F5" s="17">
        <f>SUM(F6:F12)</f>
        <v>3443.3587239253338</v>
      </c>
      <c r="G5" s="18"/>
      <c r="H5" s="17"/>
      <c r="I5" s="17"/>
      <c r="J5" s="17">
        <f>SUM(J6:J12)</f>
        <v>0</v>
      </c>
      <c r="K5" s="17"/>
      <c r="L5" s="17"/>
      <c r="M5" s="17"/>
      <c r="N5" s="17">
        <f>SUM(N6:N12)</f>
        <v>1819.1861809610664</v>
      </c>
      <c r="O5" s="17">
        <f>B38*B39*B40</f>
        <v>7.8166666666666664</v>
      </c>
      <c r="P5" s="17">
        <f>B46*B47*B48/1000-B46*B47*B48/1000/B49</f>
        <v>19.066666666666666</v>
      </c>
      <c r="R5" s="32"/>
    </row>
    <row r="6" spans="1:18">
      <c r="A6" s="32" t="s">
        <v>54</v>
      </c>
      <c r="B6" s="37">
        <f>B26</f>
        <v>1436.1969999999999</v>
      </c>
      <c r="C6" s="33"/>
      <c r="D6" s="37">
        <f>IF(ISERROR(TER_kantoor_gas_kWh/1000),0,TER_kantoor_gas_kWh/1000)*0.902</f>
        <v>5391.8297275105142</v>
      </c>
      <c r="E6" s="33">
        <f>$C$26*'E Balans VL '!I12/100/3.6*1000000</f>
        <v>5.579929405620943</v>
      </c>
      <c r="F6" s="33">
        <f>$C$26*('E Balans VL '!L12+'E Balans VL '!N12)/100/3.6*1000000</f>
        <v>218.43249534919931</v>
      </c>
      <c r="G6" s="34"/>
      <c r="H6" s="33"/>
      <c r="I6" s="33"/>
      <c r="J6" s="33">
        <f>$C$26*('E Balans VL '!D12+'E Balans VL '!E12)/100/3.6*1000000</f>
        <v>0</v>
      </c>
      <c r="K6" s="33"/>
      <c r="L6" s="33"/>
      <c r="M6" s="33"/>
      <c r="N6" s="33">
        <f>$C$26*'E Balans VL '!Y12/100/3.6*1000000</f>
        <v>0.79151659916348105</v>
      </c>
      <c r="O6" s="33"/>
      <c r="P6" s="33"/>
      <c r="R6" s="32"/>
    </row>
    <row r="7" spans="1:18">
      <c r="A7" s="32" t="s">
        <v>53</v>
      </c>
      <c r="B7" s="37">
        <f t="shared" ref="B7:B12" si="0">B27</f>
        <v>873.98400000000004</v>
      </c>
      <c r="C7" s="33"/>
      <c r="D7" s="37">
        <f>IF(ISERROR(TER_horeca_gas_kWh/1000),0,TER_horeca_gas_kWh/1000)*0.902</f>
        <v>5762.8470766178498</v>
      </c>
      <c r="E7" s="33">
        <f>$C$27*'E Balans VL '!I9/100/3.6*1000000</f>
        <v>49.231752384607468</v>
      </c>
      <c r="F7" s="33">
        <f>$C$27*('E Balans VL '!L9+'E Balans VL '!N9)/100/3.6*1000000</f>
        <v>252.00466124606919</v>
      </c>
      <c r="G7" s="34"/>
      <c r="H7" s="33"/>
      <c r="I7" s="33"/>
      <c r="J7" s="33">
        <f>$C$27*('E Balans VL '!D9+'E Balans VL '!E9)/100/3.6*1000000</f>
        <v>0</v>
      </c>
      <c r="K7" s="33"/>
      <c r="L7" s="33"/>
      <c r="M7" s="33"/>
      <c r="N7" s="33">
        <f>$C$27*'E Balans VL '!Y9/100/3.6*1000000</f>
        <v>0.24130244075182627</v>
      </c>
      <c r="O7" s="33"/>
      <c r="P7" s="33"/>
      <c r="R7" s="32"/>
    </row>
    <row r="8" spans="1:18">
      <c r="A8" s="6" t="s">
        <v>52</v>
      </c>
      <c r="B8" s="37">
        <f t="shared" si="0"/>
        <v>11326.239</v>
      </c>
      <c r="C8" s="33"/>
      <c r="D8" s="37">
        <f>IF(ISERROR(TER_handel_gas_kWh/1000),0,TER_handel_gas_kWh/1000)*0.902</f>
        <v>1499.9371175559372</v>
      </c>
      <c r="E8" s="33">
        <f>$C$28*'E Balans VL '!I13/100/3.6*1000000</f>
        <v>163.24953009646404</v>
      </c>
      <c r="F8" s="33">
        <f>$C$28*('E Balans VL '!L13+'E Balans VL '!N13)/100/3.6*1000000</f>
        <v>1967.6314846073919</v>
      </c>
      <c r="G8" s="34"/>
      <c r="H8" s="33"/>
      <c r="I8" s="33"/>
      <c r="J8" s="33">
        <f>$C$28*('E Balans VL '!D13+'E Balans VL '!E13)/100/3.6*1000000</f>
        <v>0</v>
      </c>
      <c r="K8" s="33"/>
      <c r="L8" s="33"/>
      <c r="M8" s="33"/>
      <c r="N8" s="33">
        <f>$C$28*'E Balans VL '!Y13/100/3.6*1000000</f>
        <v>33.934672906899443</v>
      </c>
      <c r="O8" s="33"/>
      <c r="P8" s="33"/>
      <c r="R8" s="32"/>
    </row>
    <row r="9" spans="1:18">
      <c r="A9" s="32" t="s">
        <v>51</v>
      </c>
      <c r="B9" s="37">
        <f t="shared" si="0"/>
        <v>564.87199999999996</v>
      </c>
      <c r="C9" s="33"/>
      <c r="D9" s="37">
        <f>IF(ISERROR(TER_gezond_gas_kWh/1000),0,TER_gezond_gas_kWh/1000)*0.902</f>
        <v>158.25749863870143</v>
      </c>
      <c r="E9" s="33">
        <f>$C$29*'E Balans VL '!I10/100/3.6*1000000</f>
        <v>0.60342970544568353</v>
      </c>
      <c r="F9" s="33">
        <f>$C$29*('E Balans VL '!L10+'E Balans VL '!N10)/100/3.6*1000000</f>
        <v>92.147790304279695</v>
      </c>
      <c r="G9" s="34"/>
      <c r="H9" s="33"/>
      <c r="I9" s="33"/>
      <c r="J9" s="33">
        <f>$C$29*('E Balans VL '!D10+'E Balans VL '!E10)/100/3.6*1000000</f>
        <v>0</v>
      </c>
      <c r="K9" s="33"/>
      <c r="L9" s="33"/>
      <c r="M9" s="33"/>
      <c r="N9" s="33">
        <f>$C$29*'E Balans VL '!Y10/100/3.6*1000000</f>
        <v>5.8150349304669744</v>
      </c>
      <c r="O9" s="33"/>
      <c r="P9" s="33"/>
      <c r="R9" s="32"/>
    </row>
    <row r="10" spans="1:18">
      <c r="A10" s="32" t="s">
        <v>50</v>
      </c>
      <c r="B10" s="37">
        <f t="shared" si="0"/>
        <v>2554.203</v>
      </c>
      <c r="C10" s="33"/>
      <c r="D10" s="37">
        <f>IF(ISERROR(TER_ander_gas_kWh/1000),0,TER_ander_gas_kWh/1000)*0.902</f>
        <v>423.00648818142184</v>
      </c>
      <c r="E10" s="33">
        <f>$C$30*'E Balans VL '!I14/100/3.6*1000000</f>
        <v>11.746391073882219</v>
      </c>
      <c r="F10" s="33">
        <f>$C$30*('E Balans VL '!L14+'E Balans VL '!N14)/100/3.6*1000000</f>
        <v>765.57520590382728</v>
      </c>
      <c r="G10" s="34"/>
      <c r="H10" s="33"/>
      <c r="I10" s="33"/>
      <c r="J10" s="33">
        <f>$C$30*('E Balans VL '!D14+'E Balans VL '!E14)/100/3.6*1000000</f>
        <v>0</v>
      </c>
      <c r="K10" s="33"/>
      <c r="L10" s="33"/>
      <c r="M10" s="33"/>
      <c r="N10" s="33">
        <f>$C$30*'E Balans VL '!Y14/100/3.6*1000000</f>
        <v>1777.8938929034091</v>
      </c>
      <c r="O10" s="33"/>
      <c r="P10" s="33"/>
      <c r="R10" s="32"/>
    </row>
    <row r="11" spans="1:18">
      <c r="A11" s="32" t="s">
        <v>55</v>
      </c>
      <c r="B11" s="37">
        <f t="shared" si="0"/>
        <v>416.47</v>
      </c>
      <c r="C11" s="33"/>
      <c r="D11" s="37">
        <f>IF(ISERROR(TER_onderwijs_gas_kWh/1000),0,TER_onderwijs_gas_kWh/1000)*0.902</f>
        <v>0</v>
      </c>
      <c r="E11" s="33">
        <f>$C$31*'E Balans VL '!I11/100/3.6*1000000</f>
        <v>0.38633069446086676</v>
      </c>
      <c r="F11" s="33">
        <f>$C$31*('E Balans VL '!L11+'E Balans VL '!N11)/100/3.6*1000000</f>
        <v>146.2963391252315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6.4217641936138001</v>
      </c>
      <c r="C12" s="33"/>
      <c r="D12" s="37">
        <f>IF(ISERROR(TER_rest_gas_kWh/1000),0,TER_rest_gas_kWh/1000)*0.902</f>
        <v>2874.1687265736969</v>
      </c>
      <c r="E12" s="33">
        <f>$C$32*'E Balans VL '!I8/100/3.6*1000000</f>
        <v>7.7892807119355853E-2</v>
      </c>
      <c r="F12" s="33">
        <f>$C$32*('E Balans VL '!L8+'E Balans VL '!N8)/100/3.6*1000000</f>
        <v>1.2707473893349561</v>
      </c>
      <c r="G12" s="34"/>
      <c r="H12" s="33"/>
      <c r="I12" s="33"/>
      <c r="J12" s="33">
        <f>$C$32*('E Balans VL '!D8+'E Balans VL '!E8)/100/3.6*1000000</f>
        <v>0</v>
      </c>
      <c r="K12" s="33"/>
      <c r="L12" s="33"/>
      <c r="M12" s="33"/>
      <c r="N12" s="33">
        <f>$C$32*'E Balans VL '!Y8/100/3.6*1000000</f>
        <v>0.50976118037563667</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17178.386764193612</v>
      </c>
      <c r="C16" s="21">
        <f t="shared" ca="1" si="1"/>
        <v>0</v>
      </c>
      <c r="D16" s="21">
        <f t="shared" ca="1" si="1"/>
        <v>16110.046635078121</v>
      </c>
      <c r="E16" s="21">
        <f t="shared" si="1"/>
        <v>230.87525616760058</v>
      </c>
      <c r="F16" s="21">
        <f t="shared" ca="1" si="1"/>
        <v>3443.3587239253338</v>
      </c>
      <c r="G16" s="21">
        <f t="shared" si="1"/>
        <v>0</v>
      </c>
      <c r="H16" s="21">
        <f t="shared" si="1"/>
        <v>0</v>
      </c>
      <c r="I16" s="21">
        <f t="shared" si="1"/>
        <v>0</v>
      </c>
      <c r="J16" s="21">
        <f t="shared" si="1"/>
        <v>0</v>
      </c>
      <c r="K16" s="21">
        <f t="shared" si="1"/>
        <v>0</v>
      </c>
      <c r="L16" s="21">
        <f t="shared" ca="1" si="1"/>
        <v>0</v>
      </c>
      <c r="M16" s="21">
        <f t="shared" si="1"/>
        <v>0</v>
      </c>
      <c r="N16" s="21">
        <f t="shared" ca="1" si="1"/>
        <v>1819.1861809610664</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0.20596083099148246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3538.0748130463999</v>
      </c>
      <c r="C20" s="23">
        <f t="shared" ref="C20:P20" ca="1" si="2">C16*C18</f>
        <v>0</v>
      </c>
      <c r="D20" s="23">
        <f t="shared" ca="1" si="2"/>
        <v>3254.2294202857806</v>
      </c>
      <c r="E20" s="23">
        <f t="shared" si="2"/>
        <v>52.408683150045334</v>
      </c>
      <c r="F20" s="23">
        <f t="shared" ca="1" si="2"/>
        <v>919.3767792880642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1436.1969999999999</v>
      </c>
      <c r="C26" s="39">
        <f>IF(ISERROR(B26*3.6/1000000/'E Balans VL '!Z12*100),0,B26*3.6/1000000/'E Balans VL '!Z12*100)</f>
        <v>3.0505535679513123E-2</v>
      </c>
      <c r="D26" s="239" t="s">
        <v>692</v>
      </c>
      <c r="F26" s="6"/>
    </row>
    <row r="27" spans="1:18">
      <c r="A27" s="233" t="s">
        <v>53</v>
      </c>
      <c r="B27" s="33">
        <f>IF(ISERROR(TER_horeca_ele_kWh/1000),0,TER_horeca_ele_kWh/1000)</f>
        <v>873.98400000000004</v>
      </c>
      <c r="C27" s="39">
        <f>IF(ISERROR(B27*3.6/1000000/'E Balans VL '!Z9*100),0,B27*3.6/1000000/'E Balans VL '!Z9*100)</f>
        <v>6.7957578630989265E-2</v>
      </c>
      <c r="D27" s="239" t="s">
        <v>692</v>
      </c>
      <c r="F27" s="6"/>
    </row>
    <row r="28" spans="1:18">
      <c r="A28" s="173" t="s">
        <v>52</v>
      </c>
      <c r="B28" s="33">
        <f>IF(ISERROR(TER_handel_ele_kWh/1000),0,TER_handel_ele_kWh/1000)</f>
        <v>11326.239</v>
      </c>
      <c r="C28" s="39">
        <f>IF(ISERROR(B28*3.6/1000000/'E Balans VL '!Z13*100),0,B28*3.6/1000000/'E Balans VL '!Z13*100)</f>
        <v>0.32405702743987036</v>
      </c>
      <c r="D28" s="239" t="s">
        <v>692</v>
      </c>
      <c r="F28" s="6"/>
    </row>
    <row r="29" spans="1:18">
      <c r="A29" s="233" t="s">
        <v>51</v>
      </c>
      <c r="B29" s="33">
        <f>IF(ISERROR(TER_gezond_ele_kWh/1000),0,TER_gezond_ele_kWh/1000)</f>
        <v>564.87199999999996</v>
      </c>
      <c r="C29" s="39">
        <f>IF(ISERROR(B29*3.6/1000000/'E Balans VL '!Z10*100),0,B29*3.6/1000000/'E Balans VL '!Z10*100)</f>
        <v>6.1584174051048733E-2</v>
      </c>
      <c r="D29" s="239" t="s">
        <v>692</v>
      </c>
      <c r="F29" s="6"/>
    </row>
    <row r="30" spans="1:18">
      <c r="A30" s="233" t="s">
        <v>50</v>
      </c>
      <c r="B30" s="33">
        <f>IF(ISERROR(TER_ander_ele_kWh/1000),0,TER_ander_ele_kWh/1000)</f>
        <v>2554.203</v>
      </c>
      <c r="C30" s="39">
        <f>IF(ISERROR(B30*3.6/1000000/'E Balans VL '!Z14*100),0,B30*3.6/1000000/'E Balans VL '!Z14*100)</f>
        <v>0.18691078146784559</v>
      </c>
      <c r="D30" s="239" t="s">
        <v>692</v>
      </c>
      <c r="F30" s="6"/>
    </row>
    <row r="31" spans="1:18">
      <c r="A31" s="233" t="s">
        <v>55</v>
      </c>
      <c r="B31" s="33">
        <f>IF(ISERROR(TER_onderwijs_ele_kWh/1000),0,TER_onderwijs_ele_kWh/1000)</f>
        <v>416.47</v>
      </c>
      <c r="C31" s="39">
        <f>IF(ISERROR(B31*3.6/1000000/'E Balans VL '!Z11*100),0,B31*3.6/1000000/'E Balans VL '!Z11*100)</f>
        <v>8.3648308762094128E-2</v>
      </c>
      <c r="D31" s="239" t="s">
        <v>692</v>
      </c>
    </row>
    <row r="32" spans="1:18">
      <c r="A32" s="233" t="s">
        <v>260</v>
      </c>
      <c r="B32" s="33">
        <f>IF(ISERROR(TER_rest_ele_kWh/1000),0,TER_rest_ele_kWh/1000)</f>
        <v>6.4217641936138001</v>
      </c>
      <c r="C32" s="39">
        <f>IF(ISERROR(B32*3.6/1000000/'E Balans VL '!Z8*100),0,B32*3.6/1000000/'E Balans VL '!Z8*100)</f>
        <v>5.2333481007275462E-5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27694.859000000004</v>
      </c>
      <c r="C5" s="17">
        <f>IF(ISERROR('Eigen informatie GS &amp; warmtenet'!B59),0,'Eigen informatie GS &amp; warmtenet'!B59)</f>
        <v>0</v>
      </c>
      <c r="D5" s="30">
        <f>SUM(D6:D15)</f>
        <v>135720.99585701554</v>
      </c>
      <c r="E5" s="17">
        <f>SUM(E6:E15)</f>
        <v>1963.6650450556458</v>
      </c>
      <c r="F5" s="17">
        <f>SUM(F6:F15)</f>
        <v>24458.222340472439</v>
      </c>
      <c r="G5" s="18"/>
      <c r="H5" s="17"/>
      <c r="I5" s="17"/>
      <c r="J5" s="17">
        <f>SUM(J6:J15)</f>
        <v>48.171016137641743</v>
      </c>
      <c r="K5" s="17"/>
      <c r="L5" s="17"/>
      <c r="M5" s="17"/>
      <c r="N5" s="17">
        <f>SUM(N6:N15)</f>
        <v>7118.0058105275875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2384.9920000000002</v>
      </c>
      <c r="C8" s="33"/>
      <c r="D8" s="37">
        <f>IF( ISERROR(IND_metaal_Gas_kWH/1000),0,IND_metaal_Gas_kWH/1000)*0.902</f>
        <v>1258.6096779068537</v>
      </c>
      <c r="E8" s="33">
        <f>C30*'E Balans VL '!I18/100/3.6*1000000</f>
        <v>68.505922401729734</v>
      </c>
      <c r="F8" s="33">
        <f>C30*'E Balans VL '!L18/100/3.6*1000000+C30*'E Balans VL '!N18/100/3.6*1000000</f>
        <v>611.70457801180532</v>
      </c>
      <c r="G8" s="34"/>
      <c r="H8" s="33"/>
      <c r="I8" s="33"/>
      <c r="J8" s="40">
        <f>C30*'E Balans VL '!D18/100/3.6*1000000+C30*'E Balans VL '!E18/100/3.6*1000000</f>
        <v>0</v>
      </c>
      <c r="K8" s="33"/>
      <c r="L8" s="33"/>
      <c r="M8" s="33"/>
      <c r="N8" s="33">
        <f>C30*'E Balans VL '!Y18/100/3.6*1000000</f>
        <v>64.75740125842411</v>
      </c>
      <c r="O8" s="33"/>
      <c r="P8" s="33"/>
      <c r="R8" s="32"/>
    </row>
    <row r="9" spans="1:18">
      <c r="A9" s="6" t="s">
        <v>33</v>
      </c>
      <c r="B9" s="37">
        <f t="shared" si="0"/>
        <v>2924.2339999999999</v>
      </c>
      <c r="C9" s="33"/>
      <c r="D9" s="37">
        <f>IF( ISERROR(IND_andere_gas_kWh/1000),0,IND_andere_gas_kWh/1000)*0.902</f>
        <v>803.2643950366479</v>
      </c>
      <c r="E9" s="33">
        <f>C31*'E Balans VL '!I19/100/3.6*1000000</f>
        <v>791.51824554036898</v>
      </c>
      <c r="F9" s="33">
        <f>C31*'E Balans VL '!L19/100/3.6*1000000+C31*'E Balans VL '!N19/100/3.6*1000000</f>
        <v>1947.8492925979947</v>
      </c>
      <c r="G9" s="34"/>
      <c r="H9" s="33"/>
      <c r="I9" s="33"/>
      <c r="J9" s="40">
        <f>C31*'E Balans VL '!D19/100/3.6*1000000+C31*'E Balans VL '!E19/100/3.6*1000000</f>
        <v>0</v>
      </c>
      <c r="K9" s="33"/>
      <c r="L9" s="33"/>
      <c r="M9" s="33"/>
      <c r="N9" s="33">
        <f>C31*'E Balans VL '!Y19/100/3.6*1000000</f>
        <v>954.71382531464656</v>
      </c>
      <c r="O9" s="33"/>
      <c r="P9" s="33"/>
      <c r="R9" s="32"/>
    </row>
    <row r="10" spans="1:18">
      <c r="A10" s="6" t="s">
        <v>41</v>
      </c>
      <c r="B10" s="37">
        <f t="shared" si="0"/>
        <v>12413.550999999999</v>
      </c>
      <c r="C10" s="33"/>
      <c r="D10" s="37">
        <f>IF( ISERROR(IND_voed_gas_kWh/1000),0,IND_voed_gas_kWh/1000)*0.902</f>
        <v>43775.005694589294</v>
      </c>
      <c r="E10" s="33">
        <f>C32*'E Balans VL '!I20/100/3.6*1000000</f>
        <v>1012.4777389513093</v>
      </c>
      <c r="F10" s="33">
        <f>C32*'E Balans VL '!L20/100/3.6*1000000+C32*'E Balans VL '!N20/100/3.6*1000000</f>
        <v>18509.73079703073</v>
      </c>
      <c r="G10" s="34"/>
      <c r="H10" s="33"/>
      <c r="I10" s="33"/>
      <c r="J10" s="40">
        <f>C32*'E Balans VL '!D20/100/3.6*1000000+C32*'E Balans VL '!E20/100/3.6*1000000</f>
        <v>0.1642162117004714</v>
      </c>
      <c r="K10" s="33"/>
      <c r="L10" s="33"/>
      <c r="M10" s="33"/>
      <c r="N10" s="33">
        <f>C32*'E Balans VL '!Y20/100/3.6*1000000</f>
        <v>3646.663256816722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8627.1479999999992</v>
      </c>
      <c r="C12" s="33"/>
      <c r="D12" s="37">
        <f>IF( ISERROR(IND_min_gas_kWh/1000),0,IND_min_gas_kWh/1000)*0.902</f>
        <v>0</v>
      </c>
      <c r="E12" s="33">
        <f>C34*'E Balans VL '!I22/100/3.6*1000000</f>
        <v>67.203603144464466</v>
      </c>
      <c r="F12" s="33">
        <f>C34*'E Balans VL '!L22/100/3.6*1000000+C34*'E Balans VL '!N22/100/3.6*1000000</f>
        <v>3253.6300711632939</v>
      </c>
      <c r="G12" s="34"/>
      <c r="H12" s="33"/>
      <c r="I12" s="33"/>
      <c r="J12" s="40">
        <f>C34*'E Balans VL '!D22/100/3.6*1000000+C34*'E Balans VL '!E22/100/3.6*1000000</f>
        <v>47.448559703194945</v>
      </c>
      <c r="K12" s="33"/>
      <c r="L12" s="33"/>
      <c r="M12" s="33"/>
      <c r="N12" s="33">
        <f>C34*'E Balans VL '!Y22/100/3.6*1000000</f>
        <v>0</v>
      </c>
      <c r="O12" s="33"/>
      <c r="P12" s="33"/>
      <c r="R12" s="32"/>
    </row>
    <row r="13" spans="1:18">
      <c r="A13" s="6" t="s">
        <v>39</v>
      </c>
      <c r="B13" s="37">
        <f t="shared" si="0"/>
        <v>1127.1320000000001</v>
      </c>
      <c r="C13" s="33"/>
      <c r="D13" s="37">
        <f>IF( ISERROR(IND_papier_gas_kWh/1000),0,IND_papier_gas_kWh/1000)*0.902</f>
        <v>0</v>
      </c>
      <c r="E13" s="33">
        <f>C35*'E Balans VL '!I23/100/3.6*1000000</f>
        <v>11.808761083908507</v>
      </c>
      <c r="F13" s="33">
        <f>C35*'E Balans VL '!L23/100/3.6*1000000+C35*'E Balans VL '!N23/100/3.6*1000000</f>
        <v>84.106789619675666</v>
      </c>
      <c r="G13" s="34"/>
      <c r="H13" s="33"/>
      <c r="I13" s="33"/>
      <c r="J13" s="40">
        <f>C35*'E Balans VL '!D23/100/3.6*1000000+C35*'E Balans VL '!E23/100/3.6*1000000</f>
        <v>0</v>
      </c>
      <c r="K13" s="33"/>
      <c r="L13" s="33"/>
      <c r="M13" s="33"/>
      <c r="N13" s="33">
        <f>C35*'E Balans VL '!Y23/100/3.6*1000000</f>
        <v>2409.1270035364046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217.80199999999999</v>
      </c>
      <c r="C15" s="33"/>
      <c r="D15" s="37">
        <f>IF( ISERROR(IND_rest_gas_kWh/1000),0,IND_rest_gas_kWh/1000)*0.902</f>
        <v>89884.116089482748</v>
      </c>
      <c r="E15" s="33">
        <f>C37*'E Balans VL '!I15/100/3.6*1000000</f>
        <v>12.150773933864849</v>
      </c>
      <c r="F15" s="33">
        <f>C37*'E Balans VL '!L15/100/3.6*1000000+C37*'E Balans VL '!N15/100/3.6*1000000</f>
        <v>51.200812048936434</v>
      </c>
      <c r="G15" s="34"/>
      <c r="H15" s="33"/>
      <c r="I15" s="33"/>
      <c r="J15" s="40">
        <f>C37*'E Balans VL '!D15/100/3.6*1000000+C37*'E Balans VL '!E15/100/3.6*1000000</f>
        <v>0.55824022274632612</v>
      </c>
      <c r="K15" s="33"/>
      <c r="L15" s="33"/>
      <c r="M15" s="33"/>
      <c r="N15" s="33">
        <f>C37*'E Balans VL '!Y15/100/3.6*1000000</f>
        <v>42.744323601389191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27694.859000000004</v>
      </c>
      <c r="C18" s="21">
        <f>C5+C16</f>
        <v>0</v>
      </c>
      <c r="D18" s="21">
        <f>MAX((D5+D16),0)</f>
        <v>135720.99585701554</v>
      </c>
      <c r="E18" s="21">
        <f>MAX((E5+E16),0)</f>
        <v>1963.6650450556458</v>
      </c>
      <c r="F18" s="21">
        <f>MAX((F5+F16),0)</f>
        <v>24458.222340472439</v>
      </c>
      <c r="G18" s="21"/>
      <c r="H18" s="21"/>
      <c r="I18" s="21"/>
      <c r="J18" s="21">
        <f>MAX((J5+J16),0)</f>
        <v>48.171016137641743</v>
      </c>
      <c r="K18" s="21"/>
      <c r="L18" s="21">
        <f>MAX((L5+L16),0)</f>
        <v>0</v>
      </c>
      <c r="M18" s="21"/>
      <c r="N18" s="21">
        <f>MAX((N5+N16),0)</f>
        <v>7118.0058105275875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0.20596083099148246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5704.0561738319375</v>
      </c>
      <c r="C22" s="23">
        <f ca="1">C18*C20</f>
        <v>0</v>
      </c>
      <c r="D22" s="23">
        <f>D18*D20</f>
        <v>27415.641163117143</v>
      </c>
      <c r="E22" s="23">
        <f>E18*E20</f>
        <v>445.75196522763162</v>
      </c>
      <c r="F22" s="23">
        <f>F18*F20</f>
        <v>6530.3453649061412</v>
      </c>
      <c r="G22" s="23"/>
      <c r="H22" s="23"/>
      <c r="I22" s="23"/>
      <c r="J22" s="23">
        <f>J18*J20</f>
        <v>17.052539712725178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2384.9920000000002</v>
      </c>
      <c r="C30" s="39">
        <f>IF(ISERROR(B30*3.6/1000000/'E Balans VL '!Z18*100),0,B30*3.6/1000000/'E Balans VL '!Z18*100)</f>
        <v>0.23467712456397374</v>
      </c>
      <c r="D30" s="239" t="s">
        <v>692</v>
      </c>
    </row>
    <row r="31" spans="1:18">
      <c r="A31" s="6" t="s">
        <v>33</v>
      </c>
      <c r="B31" s="37">
        <f>IF( ISERROR(IND_ander_ele_kWh/1000),0,IND_ander_ele_kWh/1000)</f>
        <v>2924.2339999999999</v>
      </c>
      <c r="C31" s="39">
        <f>IF(ISERROR(B31*3.6/1000000/'E Balans VL '!Z19*100),0,B31*3.6/1000000/'E Balans VL '!Z19*100)</f>
        <v>0.1273480580615162</v>
      </c>
      <c r="D31" s="239" t="s">
        <v>692</v>
      </c>
    </row>
    <row r="32" spans="1:18">
      <c r="A32" s="173" t="s">
        <v>41</v>
      </c>
      <c r="B32" s="37">
        <f>IF( ISERROR(IND_voed_ele_kWh/1000),0,IND_voed_ele_kWh/1000)</f>
        <v>12413.550999999999</v>
      </c>
      <c r="C32" s="39">
        <f>IF(ISERROR(B32*3.6/1000000/'E Balans VL '!Z20*100),0,B32*3.6/1000000/'E Balans VL '!Z20*100)</f>
        <v>2.3552922793692179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8627.1479999999992</v>
      </c>
      <c r="C34" s="39">
        <f>IF(ISERROR(B34*3.6/1000000/'E Balans VL '!Z22*100),0,B34*3.6/1000000/'E Balans VL '!Z22*100)</f>
        <v>1.2130636399199559</v>
      </c>
      <c r="D34" s="239" t="s">
        <v>692</v>
      </c>
    </row>
    <row r="35" spans="1:5">
      <c r="A35" s="173" t="s">
        <v>39</v>
      </c>
      <c r="B35" s="37">
        <f>IF( ISERROR(IND_papier_ele_kWh/1000),0,IND_papier_ele_kWh/1000)</f>
        <v>1127.1320000000001</v>
      </c>
      <c r="C35" s="39">
        <f>IF(ISERROR(B35*3.6/1000000/'E Balans VL '!Z22*100),0,B35*3.6/1000000/'E Balans VL '!Z22*100)</f>
        <v>0.15848607750675656</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217.80199999999999</v>
      </c>
      <c r="C37" s="39">
        <f>IF(ISERROR(B37*3.6/1000000/'E Balans VL '!Z15*100),0,B37*3.6/1000000/'E Balans VL '!Z15*100)</f>
        <v>1.678431925998684E-3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4564.9186460826068</v>
      </c>
      <c r="C5" s="17">
        <f>'Eigen informatie GS &amp; warmtenet'!B60</f>
        <v>0</v>
      </c>
      <c r="D5" s="30">
        <f>IF(ISERROR(SUM(LB_lb_gas_kWh,LB_rest_gas_kWh)/1000),0,SUM(LB_lb_gas_kWh,LB_rest_gas_kWh)/1000)*0.902</f>
        <v>516.73971705848771</v>
      </c>
      <c r="E5" s="17">
        <f>B17*'E Balans VL '!I25/3.6*1000000/100</f>
        <v>57.523855751546854</v>
      </c>
      <c r="F5" s="17">
        <f>B17*('E Balans VL '!L25/3.6*1000000+'E Balans VL '!N25/3.6*1000000)/100</f>
        <v>15750.112909437572</v>
      </c>
      <c r="G5" s="18"/>
      <c r="H5" s="17"/>
      <c r="I5" s="17"/>
      <c r="J5" s="17">
        <f>('E Balans VL '!D25+'E Balans VL '!E25)/3.6*1000000*landbouw!B17/100</f>
        <v>686.51187220710028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4564.9186460826068</v>
      </c>
      <c r="C8" s="21">
        <f>C5+C6</f>
        <v>0</v>
      </c>
      <c r="D8" s="21">
        <f>MAX((D5+D6),0)</f>
        <v>516.73971705848771</v>
      </c>
      <c r="E8" s="21">
        <f>MAX((E5+E6),0)</f>
        <v>57.523855751546854</v>
      </c>
      <c r="F8" s="21">
        <f>MAX((F5+F6),0)</f>
        <v>15750.112909437572</v>
      </c>
      <c r="G8" s="21"/>
      <c r="H8" s="21"/>
      <c r="I8" s="21"/>
      <c r="J8" s="21">
        <f>MAX((J5+J6),0)</f>
        <v>686.51187220710028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0.20596083099148246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940.19443775568675</v>
      </c>
      <c r="C12" s="23">
        <f ca="1">C8*C10</f>
        <v>0</v>
      </c>
      <c r="D12" s="23">
        <f>D8*D10</f>
        <v>104.38142284581453</v>
      </c>
      <c r="E12" s="23">
        <f>E8*E10</f>
        <v>13.057915255601136</v>
      </c>
      <c r="F12" s="23">
        <f>F8*F10</f>
        <v>4205.2801468198322</v>
      </c>
      <c r="G12" s="23"/>
      <c r="H12" s="23"/>
      <c r="I12" s="23"/>
      <c r="J12" s="23">
        <f>J8*J10</f>
        <v>243.02520276131349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0.63666227324437796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623.72259468760831</v>
      </c>
      <c r="C26" s="249">
        <f>B26*'GWP N2O_CH4'!B5</f>
        <v>13098.174488439774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560.03372568835357</v>
      </c>
      <c r="C27" s="249">
        <f>B27*'GWP N2O_CH4'!B5</f>
        <v>11760.708239455425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10.597106823085294</v>
      </c>
      <c r="C28" s="249">
        <f>B28*'GWP N2O_CH4'!B4</f>
        <v>3285.1031151564412</v>
      </c>
      <c r="D28" s="50"/>
    </row>
    <row r="29" spans="1:4">
      <c r="A29" s="41" t="s">
        <v>277</v>
      </c>
      <c r="B29" s="249">
        <f>B34*'ha_N2O bodem landbouw'!B4</f>
        <v>24.040935092318378</v>
      </c>
      <c r="C29" s="249">
        <f>B29*'GWP N2O_CH4'!B4</f>
        <v>7452.6898786186975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6.0027812688237614E-3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1.3425464884510188E-5</v>
      </c>
      <c r="C5" s="448" t="s">
        <v>211</v>
      </c>
      <c r="D5" s="433">
        <f>SUM(D6:D11)</f>
        <v>2.7104677037774185E-5</v>
      </c>
      <c r="E5" s="433">
        <f>SUM(E6:E11)</f>
        <v>8.0554359791320813E-4</v>
      </c>
      <c r="F5" s="446" t="s">
        <v>211</v>
      </c>
      <c r="G5" s="433">
        <f>SUM(G6:G11)</f>
        <v>0.20534241812850693</v>
      </c>
      <c r="H5" s="433">
        <f>SUM(H6:H11)</f>
        <v>4.004018753646172E-2</v>
      </c>
      <c r="I5" s="448" t="s">
        <v>211</v>
      </c>
      <c r="J5" s="448" t="s">
        <v>211</v>
      </c>
      <c r="K5" s="448" t="s">
        <v>211</v>
      </c>
      <c r="L5" s="448" t="s">
        <v>211</v>
      </c>
      <c r="M5" s="433">
        <f>SUM(M6:M11)</f>
        <v>1.1094478193499232E-2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6.1145397378675448E-6</v>
      </c>
      <c r="C6" s="887"/>
      <c r="D6" s="887">
        <f>vkm_2011_GW_PW*SUMIFS(TableVerdeelsleutelVkm[CNG],TableVerdeelsleutelVkm[Voertuigtype],"Lichte voertuigen")*SUMIFS(TableECFTransport[EnergieConsumptieFactor (PJ per km)],TableECFTransport[Index],CONCATENATE($A6,"_CNG_CNG"))</f>
        <v>8.6593841542594313E-6</v>
      </c>
      <c r="E6" s="887">
        <f>vkm_2011_GW_PW*SUMIFS(TableVerdeelsleutelVkm[LPG],TableVerdeelsleutelVkm[Voertuigtype],"Lichte voertuigen")*SUMIFS(TableECFTransport[EnergieConsumptieFactor (PJ per km)],TableECFTransport[Index],CONCATENATE($A6,"_LPG_LPG"))</f>
        <v>2.7196274884005046E-4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4.8879152861216607E-2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1.309756232027739E-2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2.804024627437454E-3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3.225568710583105E-2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1.1460111241654462E-5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1.4555970768775016E-3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7.310925146642644E-6</v>
      </c>
      <c r="C8" s="887"/>
      <c r="D8" s="436">
        <f>vkm_2011_NGW_PW*SUMIFS(TableVerdeelsleutelVkm[CNG],TableVerdeelsleutelVkm[Voertuigtype],"Lichte voertuigen")*SUMIFS(TableECFTransport[EnergieConsumptieFactor (PJ per km)],TableECFTransport[Index],CONCATENATE($A8,"_CNG_CNG"))</f>
        <v>1.8445292883514754E-5</v>
      </c>
      <c r="E8" s="436">
        <f>vkm_2011_NGW_PW*SUMIFS(TableVerdeelsleutelVkm[LPG],TableVerdeelsleutelVkm[Voertuigtype],"Lichte voertuigen")*SUMIFS(TableECFTransport[EnergieConsumptieFactor (PJ per km)],TableECFTransport[Index],CONCATENATE($A8,"_LPG_LPG"))</f>
        <v>5.3358084907315767E-4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9.0447128049577857E-2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2.6919814592590886E-2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5.3113836857363334E-3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3.3760450111881425E-2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1.1350512351784523E-5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1.5234728034479428E-3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3.7292958012528299</v>
      </c>
      <c r="C14" s="21"/>
      <c r="D14" s="21">
        <f t="shared" ref="D14:M14" si="0">((D5)*10^9/3600)+D12</f>
        <v>7.529076954937274</v>
      </c>
      <c r="E14" s="21">
        <f t="shared" si="0"/>
        <v>223.76211053144672</v>
      </c>
      <c r="F14" s="21"/>
      <c r="G14" s="21">
        <f t="shared" si="0"/>
        <v>57039.560591251924</v>
      </c>
      <c r="H14" s="21">
        <f t="shared" si="0"/>
        <v>11122.274315683811</v>
      </c>
      <c r="I14" s="21"/>
      <c r="J14" s="21"/>
      <c r="K14" s="21"/>
      <c r="L14" s="21"/>
      <c r="M14" s="21">
        <f t="shared" si="0"/>
        <v>3081.7994981942311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0.20596083099148246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0.76808886223907924</v>
      </c>
      <c r="C18" s="23"/>
      <c r="D18" s="23">
        <f t="shared" ref="D18:M18" si="1">D14*D16</f>
        <v>1.5208735448973294</v>
      </c>
      <c r="E18" s="23">
        <f t="shared" si="1"/>
        <v>50.793999090638408</v>
      </c>
      <c r="F18" s="23"/>
      <c r="G18" s="23">
        <f t="shared" si="1"/>
        <v>15229.562677864265</v>
      </c>
      <c r="H18" s="23">
        <f t="shared" si="1"/>
        <v>2769.4463046052692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1.9632271892738146E-3</v>
      </c>
      <c r="H50" s="323">
        <f t="shared" si="2"/>
        <v>0</v>
      </c>
      <c r="I50" s="323">
        <f t="shared" si="2"/>
        <v>0</v>
      </c>
      <c r="J50" s="323">
        <f t="shared" si="2"/>
        <v>0</v>
      </c>
      <c r="K50" s="323">
        <f t="shared" si="2"/>
        <v>0</v>
      </c>
      <c r="L50" s="323">
        <f t="shared" si="2"/>
        <v>0</v>
      </c>
      <c r="M50" s="323">
        <f t="shared" si="2"/>
        <v>8.7309514996543281E-5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1.9632271892738146E-3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8.7309514996543281E-5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545.34088590939291</v>
      </c>
      <c r="H54" s="21">
        <f t="shared" si="3"/>
        <v>0</v>
      </c>
      <c r="I54" s="21">
        <f t="shared" si="3"/>
        <v>0</v>
      </c>
      <c r="J54" s="21">
        <f t="shared" si="3"/>
        <v>0</v>
      </c>
      <c r="K54" s="21">
        <f t="shared" si="3"/>
        <v>0</v>
      </c>
      <c r="L54" s="21">
        <f t="shared" si="3"/>
        <v>0</v>
      </c>
      <c r="M54" s="21">
        <f t="shared" si="3"/>
        <v>24.252643054595357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0.20596083099148246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145.6060165378079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5016.567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5016.567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2019-08-12T08:02:45Z</dcterms:modified>
</cp:coreProperties>
</file>