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24"/>
  <c r="D32"/>
  <c r="L28"/>
  <c r="L29"/>
  <c r="L32"/>
  <c r="L30"/>
  <c r="L27"/>
  <c r="L31"/>
  <c r="L24"/>
  <c r="L22"/>
  <c r="P5"/>
  <c r="P23" s="1"/>
  <c r="Q10" i="14"/>
  <c r="P4" i="48"/>
  <c r="Q11" i="14"/>
  <c r="O4" i="48"/>
  <c r="P11" i="14"/>
  <c r="H29" i="48"/>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L10" i="14"/>
  <c r="L16" s="1"/>
  <c r="L27" s="1"/>
  <c r="K5" i="48"/>
  <c r="K32"/>
  <c r="K28"/>
  <c r="K26"/>
  <c r="K22"/>
  <c r="K25"/>
  <c r="K31"/>
  <c r="K30"/>
  <c r="K29"/>
  <c r="K24"/>
  <c r="K27"/>
  <c r="C24" i="14"/>
  <c r="C26" s="1"/>
  <c r="B7" i="48"/>
  <c r="J29"/>
  <c r="J31"/>
  <c r="J32"/>
  <c r="J27"/>
  <c r="J24"/>
  <c r="J30"/>
  <c r="J28"/>
  <c r="I29"/>
  <c r="I31"/>
  <c r="I26"/>
  <c r="I32"/>
  <c r="I25"/>
  <c r="I27"/>
  <c r="I22"/>
  <c r="I30"/>
  <c r="I28"/>
  <c r="I24"/>
  <c r="E11" i="14"/>
  <c r="D4" i="48"/>
  <c r="D22" s="1"/>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D9" i="48" l="1"/>
  <c r="D27" s="1"/>
  <c r="E20" i="14"/>
  <c r="E22" s="1"/>
  <c r="B9" i="48"/>
  <c r="C20" i="14"/>
  <c r="O5" i="48"/>
  <c r="O23" s="1"/>
  <c r="P10" i="14"/>
  <c r="F4" i="48"/>
  <c r="F22" s="1"/>
  <c r="G11" i="14"/>
  <c r="K24"/>
  <c r="K26" s="1"/>
  <c r="J7" i="48"/>
  <c r="J25" s="1"/>
  <c r="H18" i="14"/>
  <c r="G13" i="48"/>
  <c r="H13"/>
  <c r="H31" s="1"/>
  <c r="I18" i="14"/>
  <c r="P15" i="48"/>
  <c r="P22"/>
  <c r="P33" s="1"/>
  <c r="K15"/>
  <c r="K23"/>
  <c r="K33" s="1"/>
  <c r="E9"/>
  <c r="F20" i="14"/>
  <c r="F22" s="1"/>
  <c r="P22" i="16"/>
  <c r="Q43" i="14" s="1"/>
  <c r="P8" i="48"/>
  <c r="P26" s="1"/>
  <c r="Q13" i="14"/>
  <c r="O22" i="48"/>
  <c r="L61" i="14"/>
  <c r="L63" s="1"/>
  <c r="J10"/>
  <c r="J16" s="1"/>
  <c r="J27" s="1"/>
  <c r="I5" i="48"/>
  <c r="M12" i="22"/>
  <c r="N18" i="14"/>
  <c r="M13" i="48"/>
  <c r="M31" s="1"/>
  <c r="Q16" i="14"/>
  <c r="Q27" s="1"/>
  <c r="Q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G9" i="48"/>
  <c r="O8"/>
  <c r="P13" i="14"/>
  <c r="M10" i="48"/>
  <c r="M28" s="1"/>
  <c r="N19" i="14"/>
  <c r="E7" i="48"/>
  <c r="E25" s="1"/>
  <c r="F24" i="14"/>
  <c r="F26" s="1"/>
  <c r="G31" i="48"/>
  <c r="Q13"/>
  <c r="H19" i="14"/>
  <c r="R19" s="1"/>
  <c r="G10" i="48"/>
  <c r="E27"/>
  <c r="K11" i="14"/>
  <c r="J4" i="48"/>
  <c r="I23"/>
  <c r="I33" s="1"/>
  <c r="I15"/>
  <c r="N22" i="14"/>
  <c r="N27" s="1"/>
  <c r="N63" s="1"/>
  <c r="R18"/>
  <c r="P16"/>
  <c r="P27" s="1"/>
  <c r="N52"/>
  <c r="N61" s="1"/>
  <c r="C22"/>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20" i="15" l="1"/>
  <c r="F40" i="14" s="1"/>
  <c r="E5" i="48"/>
  <c r="E23" s="1"/>
  <c r="F10" i="14"/>
  <c r="O26" i="48"/>
  <c r="O33" s="1"/>
  <c r="O15"/>
  <c r="G28"/>
  <c r="Q10"/>
  <c r="E22"/>
  <c r="Q4"/>
  <c r="K10" i="14"/>
  <c r="J5" i="48"/>
  <c r="J23" s="1"/>
  <c r="M27"/>
  <c r="M33" s="1"/>
  <c r="M15"/>
  <c r="J22"/>
  <c r="I20" i="14"/>
  <c r="H9" i="48"/>
  <c r="G27"/>
  <c r="G33" s="1"/>
  <c r="G15"/>
  <c r="E46" i="14"/>
  <c r="E61" s="1"/>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J22" i="16"/>
  <c r="K43" i="14" s="1"/>
  <c r="K46" s="1"/>
  <c r="K61" s="1"/>
  <c r="K13"/>
  <c r="J8" i="48"/>
  <c r="J26" s="1"/>
  <c r="E8"/>
  <c r="E26" s="1"/>
  <c r="F13" i="14"/>
  <c r="I22"/>
  <c r="I27" s="1"/>
  <c r="R20"/>
  <c r="R22" s="1"/>
  <c r="K16"/>
  <c r="K27" s="1"/>
  <c r="F16"/>
  <c r="F27" s="1"/>
  <c r="F63" s="1"/>
  <c r="I63"/>
  <c r="Q5" i="48"/>
  <c r="R10" i="14"/>
  <c r="H63"/>
  <c r="J33" i="48"/>
  <c r="E33"/>
  <c r="E15"/>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<sst xmlns="http://schemas.openxmlformats.org/spreadsheetml/2006/main" count="2432" uniqueCount="913">
  <si>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</si>
  <si>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</si>
  <si>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</si>
  <si>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</si>
  <si>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</si>
  <si>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</si>
  <si>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</si>
  <si>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</si>
  <si>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</si>
  <si>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</si>
  <si>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</si>
  <si>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</si>
  <si>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</si>
  <si>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</si>
  <si>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</si>
  <si>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</si>
  <si>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</si>
  <si>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</si>
  <si>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</si>
  <si>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</si>
  <si>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</si>
  <si>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</si>
  <si>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</si>
  <si>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</si>
  <si>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</si>
  <si>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</si>
  <si>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</si>
  <si>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</si>
  <si>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</si>
  <si>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</si>
  <si>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</si>
  <si>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</si>
  <si>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</si>
  <si>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</si>
  <si>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</si>
  <si>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</si>
  <si>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</si>
  <si>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</si>
  <si>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</si>
  <si>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</si>
  <si>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</si>
  <si>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</si>
  <si>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</si>
  <si>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</si>
  <si>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</si>
  <si>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</si>
  <si>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</si>
  <si>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</si>
  <si>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</si>
  <si>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</si>
  <si>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</si>
  <si>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</si>
  <si>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</si>
  <si>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</si>
  <si>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</si>
  <si>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</si>
  <si>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</si>
  <si>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</si>
  <si>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</si>
  <si>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</si>
  <si>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</si>
  <si>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</si>
  <si>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</si>
  <si>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</si>
  <si>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</si>
  <si>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</si>
  <si>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</si>
  <si>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</si>
  <si>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</si>
  <si>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</si>
  <si>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</si>
  <si>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</si>
  <si>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</si>
  <si>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</si>
  <si>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</si>
  <si>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</si>
  <si>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</si>
  <si>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</si>
  <si>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</si>
  <si>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</si>
  <si>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</si>
  <si>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</si>
  <si>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</si>
  <si>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</si>
  <si>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</si>
  <si>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</si>
  <si>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</si>
  <si>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</si>
  <si>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</si>
  <si>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</si>
  <si>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</si>
  <si>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</si>
  <si>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</si>
  <si>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</si>
  <si>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</si>
  <si>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</si>
  <si>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</si>
  <si>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</si>
  <si>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</si>
  <si>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</si>
  <si>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</si>
  <si>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</si>
  <si>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</si>
  <si>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</si>
  <si>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</si>
  <si>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</si>
  <si>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</si>
  <si>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</si>
  <si>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</si>
  <si>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</si>
  <si>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</si>
  <si>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</si>
  <si>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</si>
  <si>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</si>
  <si>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</si>
  <si>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</si>
  <si>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</si>
  <si>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</si>
  <si>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</si>
  <si>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</si>
  <si>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</si>
  <si>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</si>
  <si>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</si>
  <si>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</si>
  <si>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</si>
  <si>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</si>
  <si>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</si>
  <si>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</si>
  <si>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</si>
  <si>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</si>
  <si>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</si>
  <si>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</si>
  <si>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</si>
  <si>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</si>
  <si>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</si>
  <si>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</si>
  <si>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</si>
  <si>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</si>
  <si>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</si>
  <si>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</si>
  <si>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</si>
  <si>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</si>
  <si>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</si>
  <si>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</si>
  <si>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</si>
  <si>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</si>
  <si>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</si>
  <si>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</si>
  <si>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</si>
  <si>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</si>
  <si>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</si>
  <si>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</si>
  <si>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</si>
  <si>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</si>
  <si>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</si>
  <si>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</si>
  <si>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</si>
  <si>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</si>
  <si>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</si>
  <si>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</si>
  <si>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</si>
  <si>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</si>
  <si>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</si>
  <si>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</si>
  <si>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</si>
  <si>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</si>
  <si>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</si>
  <si>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</si>
  <si>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</si>
  <si>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</si>
  <si>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</si>
  <si>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</si>
  <si>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</si>
  <si>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</si>
  <si>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</si>
  <si>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</si>
  <si>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</si>
  <si>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</si>
  <si>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</si>
  <si>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</si>
  <si>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</si>
  <si>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</si>
  <si>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</si>
  <si>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</si>
  <si>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</si>
  <si>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</si>
  <si>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</si>
  <si>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</si>
  <si>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</si>
  <si>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</si>
  <si>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</si>
  <si>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</si>
  <si>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</si>
  <si>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</si>
  <si>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</si>
  <si>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</si>
  <si>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</si>
  <si>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</si>
  <si>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</si>
  <si>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</si>
  <si>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</si>
  <si>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</si>
  <si>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</si>
  <si>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</si>
  <si>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</si>
  <si>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</si>
  <si>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</si>
  <si>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</si>
  <si>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</si>
  <si>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</si>
  <si>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</si>
  <si>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</si>
  <si>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</si>
  <si>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</si>
  <si>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</si>
  <si>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</si>
  <si>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</si>
  <si>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</si>
  <si>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</si>
  <si>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</si>
  <si>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</si>
  <si>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</si>
  <si>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</si>
  <si>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</si>
  <si>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</si>
  <si>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</si>
  <si>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</si>
  <si>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</si>
  <si>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</si>
  <si>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</si>
  <si>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</si>
  <si>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</si>
  <si>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</si>
  <si>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</si>
  <si>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</si>
  <si>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</si>
  <si>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</si>
  <si>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</si>
  <si>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</si>
  <si>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</si>
  <si>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</si>
  <si>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</si>
  <si>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</si>
  <si>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</si>
  <si>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</si>
  <si>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</si>
  <si>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</si>
  <si>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</si>
  <si>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</si>
  <si>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</si>
  <si>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</si>
  <si>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</si>
  <si>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</si>
  <si>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</si>
  <si>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</si>
  <si>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</si>
  <si>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</si>
  <si>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</si>
  <si>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</si>
  <si>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</si>
  <si>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</si>
  <si>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</si>
  <si>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</si>
  <si>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</si>
  <si>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</si>
  <si>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</si>
  <si>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</si>
  <si>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</si>
  <si>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</si>
  <si>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</si>
  <si>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</si>
  <si>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</si>
  <si>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</si>
  <si>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</si>
  <si>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</si>
  <si>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</si>
  <si>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</si>
  <si>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</si>
  <si>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</si>
  <si>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</si>
  <si>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</si>
  <si>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</si>
  <si>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</si>
  <si>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</si>
  <si>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</si>
  <si>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</si>
  <si>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</si>
  <si>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</si>
  <si>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</si>
  <si>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</si>
  <si>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</si>
  <si>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</si>
  <si>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</si>
  <si>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</si>
  <si>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</si>
  <si>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</si>
  <si>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</si>
  <si>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</si>
  <si>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</si>
  <si>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</si>
  <si>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</si>
  <si>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</si>
  <si>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</si>
  <si>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</si>
  <si>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</si>
  <si>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</si>
  <si>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</si>
  <si>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</si>
  <si>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</si>
  <si>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</si>
  <si>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</si>
  <si>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</si>
  <si>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</si>
  <si>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</si>
  <si>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</si>
  <si>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</si>
  <si>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</si>
  <si>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</si>
  <si>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</si>
  <si>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</si>
  <si>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</si>
  <si>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</si>
  <si>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</si>
  <si>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</si>
  <si>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</si>
  <si>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</si>
  <si>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</si>
  <si>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</si>
  <si>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</si>
  <si>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</si>
  <si>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</si>
  <si>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</si>
  <si>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</si>
  <si>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</si>
  <si>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</si>
  <si>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</si>
  <si>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</si>
  <si>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</si>
  <si>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</si>
  <si>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</si>
  <si>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</si>
  <si>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</si>
  <si>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</si>
  <si>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</si>
  <si>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</si>
  <si>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</si>
  <si>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</si>
  <si>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</si>
  <si>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</si>
  <si>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</si>
  <si>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</si>
  <si>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</si>
  <si>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</si>
  <si>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</si>
  <si>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</si>
  <si>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</si>
  <si>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</si>
  <si>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</si>
  <si>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</si>
  <si>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</si>
  <si>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</si>
  <si>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</si>
  <si>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</si>
  <si>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</si>
  <si>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</si>
  <si>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</si>
  <si>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</si>
  <si>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</si>
  <si>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</si>
  <si>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</si>
  <si>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</si>
  <si>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</si>
  <si>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</si>
  <si>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</si>
  <si>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</si>
  <si>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</si>
  <si>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</si>
  <si>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</si>
  <si>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</si>
  <si>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</si>
  <si>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</si>
  <si>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</si>
  <si>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</si>
  <si>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</si>
  <si>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</si>
  <si>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</si>
  <si>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</si>
  <si>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</si>
  <si>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</si>
  <si>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</si>
  <si>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</si>
  <si>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</si>
  <si>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</si>
  <si>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</si>
  <si>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</si>
  <si>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</si>
  <si>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</si>
  <si>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</si>
  <si>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</si>
  <si>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</si>
  <si>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</si>
  <si>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</si>
  <si>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</si>
  <si>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</si>
  <si>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</si>
  <si>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</si>
  <si>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</si>
  <si>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</si>
  <si>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</si>
  <si>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</si>
  <si>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</si>
  <si>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</si>
  <si>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</si>
  <si>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</si>
  <si>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</si>
  <si>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</si>
  <si>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</si>
  <si>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</si>
  <si>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</si>
  <si>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</si>
  <si>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</si>
  <si>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</si>
  <si>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</si>
  <si>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</si>
  <si>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</si>
  <si>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</si>
  <si>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</si>
  <si>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</si>
  <si>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</si>
  <si>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</si>
  <si>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</si>
  <si>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</si>
  <si>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</si>
  <si>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</si>
  <si>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</si>
  <si>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</si>
  <si>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</si>
  <si>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</si>
  <si>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</si>
  <si>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</si>
  <si>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</si>
  <si>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</si>
  <si>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</si>
  <si>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</si>
  <si>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</si>
  <si>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</si>
  <si>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</si>
  <si>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</si>
  <si>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</si>
  <si>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</si>
  <si>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</si>
  <si>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</si>
  <si>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</si>
  <si>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</si>
  <si>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</si>
  <si>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</si>
  <si>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</si>
  <si>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</si>
  <si>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</si>
  <si>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</si>
  <si>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</si>
  <si>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</si>
  <si>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</si>
  <si>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</si>
  <si>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</si>
  <si>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</si>
  <si>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</si>
  <si>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</si>
  <si>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</si>
  <si>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</si>
  <si>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</si>
  <si>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</si>
  <si>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</si>
  <si>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</si>
  <si>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</si>
  <si>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</si>
  <si>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</si>
  <si>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</si>
  <si>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</si>
  <si>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</si>
  <si>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</si>
  <si>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</si>
  <si>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</si>
  <si>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</si>
  <si>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</si>
  <si>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</si>
  <si>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</si>
  <si>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</si>
  <si>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</si>
  <si>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</si>
  <si>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</si>
  <si>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</si>
  <si>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</si>
  <si>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</si>
  <si>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</si>
  <si>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</si>
  <si>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</si>
  <si>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</si>
  <si>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</si>
  <si>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</si>
  <si>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</si>
  <si>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</si>
  <si>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</si>
  <si>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</si>
  <si>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</si>
  <si>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</si>
  <si>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</si>
  <si>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</si>
  <si>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</si>
  <si>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</si>
  <si>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</si>
  <si>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</si>
  <si>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</si>
  <si>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</si>
  <si>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</si>
  <si>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</si>
  <si>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</si>
  <si>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</si>
  <si>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</si>
  <si>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</si>
  <si>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</si>
  <si>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</si>
  <si>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</si>
  <si>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</si>
  <si>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</si>
  <si>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</si>
  <si>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</si>
  <si>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</si>
  <si>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</si>
  <si>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</si>
  <si>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</si>
  <si>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</si>
  <si>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</si>
  <si>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</si>
  <si>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</si>
  <si>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</si>
  <si>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</si>
  <si>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</si>
  <si>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</si>
  <si>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</si>
  <si>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</si>
  <si>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</si>
  <si>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</si>
  <si>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</si>
  <si>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</si>
  <si>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</si>
  <si>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</si>
  <si>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</si>
  <si>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</si>
  <si>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</si>
  <si>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</si>
  <si>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</si>
  <si>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</si>
  <si>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</si>
  <si>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</si>
  <si>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</si>
  <si>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</si>
  <si>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</si>
  <si>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</si>
  <si>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</si>
  <si>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</si>
  <si>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</si>
  <si>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</si>
  <si>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</si>
  <si>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</si>
  <si>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</si>
  <si>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</si>
  <si>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</si>
  <si>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</si>
  <si>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</si>
  <si>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</si>
  <si>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</si>
  <si>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</si>
  <si>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</si>
  <si>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</si>
  <si>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</si>
  <si>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</si>
  <si>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</si>
  <si>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</si>
  <si>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</si>
  <si>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</si>
  <si>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</si>
  <si>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</si>
  <si>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</si>
  <si>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</si>
  <si>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</si>
  <si>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</si>
  <si>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</si>
  <si>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</si>
  <si>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</si>
  <si>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</si>
  <si>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</si>
  <si>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</si>
  <si>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</si>
  <si>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</si>
  <si>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</si>
  <si>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</si>
  <si>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</si>
  <si>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</si>
  <si>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</si>
  <si>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</si>
  <si>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</si>
  <si>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</si>
  <si>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</si>
  <si>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</si>
  <si>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</si>
  <si>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</si>
  <si>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</si>
  <si>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</si>
  <si>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</si>
  <si>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</si>
  <si>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</si>
  <si>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</si>
  <si>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</si>
  <si>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</si>
  <si>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</si>
  <si>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</si>
  <si>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</si>
  <si>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</si>
  <si>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</si>
  <si>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</si>
  <si>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</si>
  <si>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</si>
  <si>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</si>
  <si>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</si>
  <si>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</si>
  <si>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</si>
  <si>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</si>
  <si>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</si>
  <si>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</si>
  <si>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</si>
  <si>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</si>
  <si>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</si>
  <si>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</si>
  <si>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</si>
  <si>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</si>
  <si>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</si>
  <si>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</si>
  <si>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</si>
  <si>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</si>
  <si>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</si>
  <si>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</si>
  <si>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</si>
  <si>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</si>
  <si>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</si>
  <si>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</si>
  <si>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</si>
  <si>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</si>
  <si>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</si>
  <si>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</si>
  <si>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</si>
  <si>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</si>
  <si>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</si>
  <si>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</si>
  <si>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</si>
  <si>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</si>
  <si>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</si>
  <si>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</si>
  <si>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</si>
  <si>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</si>
  <si>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</si>
  <si>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</si>
  <si>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</si>
  <si>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</si>
  <si>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</si>
  <si>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</si>
  <si>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</si>
  <si>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</si>
  <si>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</si>
  <si>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</si>
  <si>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</si>
  <si>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</si>
  <si>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</si>
  <si>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</si>
  <si>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</si>
  <si>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</si>
  <si>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</si>
  <si>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</si>
  <si>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</si>
  <si>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</si>
  <si>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</si>
  <si>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</si>
  <si>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</si>
  <si>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</si>
  <si>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</si>
  <si>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</si>
  <si>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</si>
  <si>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</si>
  <si>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</si>
  <si>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</si>
  <si>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</si>
  <si>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</si>
  <si>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</si>
  <si>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</si>
  <si>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</si>
  <si>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</si>
  <si>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</si>
  <si>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</si>
  <si>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</si>
  <si>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</si>
  <si>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</si>
  <si>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</si>
  <si>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</si>
  <si>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</si>
  <si>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</si>
  <si>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</si>
  <si>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</si>
  <si>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</si>
  <si>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</si>
  <si>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</si>
  <si>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</si>
  <si>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</si>
  <si>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</si>
  <si>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</si>
  <si>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</si>
  <si>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</si>
  <si>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</si>
  <si>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</si>
  <si>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</si>
  <si>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</si>
  <si>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</si>
  <si>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</si>
  <si>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</si>
  <si>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</si>
  <si>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</si>
  <si>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</si>
  <si>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</si>
  <si>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</si>
  <si>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</si>
  <si>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</si>
  <si>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</si>
  <si>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</si>
  <si>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</si>
  <si>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</si>
  <si>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</si>
  <si>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</si>
  <si>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</si>
  <si>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</si>
  <si>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</si>
  <si>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</si>
  <si>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</si>
  <si>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</si>
  <si>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</si>
  <si>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</si>
  <si>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</si>
  <si>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</si>
  <si>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</si>
  <si>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</si>
  <si>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</si>
  <si>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</si>
  <si>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</si>
  <si>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</si>
  <si>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</si>
  <si>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</si>
  <si>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</si>
  <si>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</si>
  <si>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</si>
  <si>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</si>
  <si>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</si>
  <si>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</si>
  <si>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</si>
  <si>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</si>
  <si>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</si>
  <si>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</si>
  <si>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</si>
  <si>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</si>
  <si>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</si>
  <si>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</si>
  <si>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</si>
  <si>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</si>
  <si>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</si>
  <si>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</si>
  <si>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</si>
  <si>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</si>
  <si>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</si>
  <si>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</si>
  <si>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</si>
  <si>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</si>
  <si>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</si>
  <si>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</si>
  <si>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</si>
  <si>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</si>
  <si>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</si>
  <si>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</si>
  <si>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</si>
  <si>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</si>
  <si>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</si>
  <si>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</si>
  <si>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</si>
  <si>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</si>
  <si>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</si>
  <si>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</si>
  <si>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</si>
  <si>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</si>
  <si>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</si>
  <si>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</si>
  <si>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</si>
  <si>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</si>
  <si>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</si>
  <si>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</si>
  <si>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</si>
  <si>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</si>
  <si>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</si>
  <si>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</si>
  <si>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</si>
  <si>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</si>
  <si>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</si>
  <si>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</si>
  <si>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</si>
  <si>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</si>
  <si>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</si>
  <si>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</si>
  <si>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</si>
  <si>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</si>
  <si>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</si>
  <si>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</si>
  <si>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</si>
  <si>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</si>
  <si>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</si>
  <si>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</si>
  <si>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</si>
  <si>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</si>
  <si>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</si>
  <si>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</si>
  <si>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</si>
  <si>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</si>
  <si>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</si>
  <si>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</si>
  <si>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</si>
  <si>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</si>
  <si>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</si>
  <si>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</si>
  <si>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</si>
  <si>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</si>
  <si>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</si>
  <si>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</si>
  <si>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</si>
  <si>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</si>
  <si>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</si>
  <si>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</si>
  <si>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</si>
  <si>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</si>
  <si>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</si>
  <si>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</si>
  <si>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</si>
  <si>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</si>
  <si>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</si>
  <si>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</si>
  <si>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</si>
  <si>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</si>
  <si>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</si>
  <si>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</si>
  <si>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</si>
  <si>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</si>
  <si>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</si>
  <si>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</si>
  <si>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</si>
  <si>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</si>
  <si>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</si>
  <si>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</si>
  <si>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</si>
  <si>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</si>
  <si>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</si>
  <si>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</si>
  <si>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</si>
  <si>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</si>
  <si>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</si>
  <si>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</si>
  <si>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</si>
  <si>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</si>
  <si>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</si>
  <si>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</si>
  <si>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</si>
  <si>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</si>
  <si>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</si>
  <si>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</si>
  <si>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</si>
  <si>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</si>
  <si>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</si>
  <si>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</si>
  <si>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</si>
  <si>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</si>
  <si>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</si>
  <si>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</si>
  <si>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</si>
  <si>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</si>
  <si>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</si>
  <si>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</si>
  <si>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</si>
  <si>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</si>
  <si>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</si>
  <si>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</si>
  <si>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</si>
  <si>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</si>
  <si>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</si>
  <si>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</si>
  <si>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</si>
  <si>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</si>
  <si>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</si>
  <si>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</si>
  <si>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</si>
  <si>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</si>
  <si>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</si>
  <si>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</si>
  <si>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</si>
  <si>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</si>
  <si>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31006</t>
  </si>
  <si>
    <t>DAMME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</si>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</sst>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108569.05660821247</c:v>
                </c:pt>
                <c:pt idx="1">
                  <c:v>32890.91528194915</c:v>
                </c:pt>
                <c:pt idx="2">
                  <c:v>870.072</c:v>
                </c:pt>
                <c:pt idx="3">
                  <c:v>17911.327679514216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108569.05660821247</c:v>
                </c:pt>
                <c:pt idx="1">
                  <c:v>32890.91528194915</c:v>
                </c:pt>
                <c:pt idx="2">
                  <c:v>870.072</c:v>
                </c:pt>
                <c:pt idx="3">
                  <c:v>17911.327679514216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20088.795436719331</c:v>
                </c:pt>
                <c:pt idx="2">
                  <c:v>6686.8345180567021</c:v>
                </c:pt>
                <c:pt idx="3">
                  <c:v>179.43548932258821</c:v>
                </c:pt>
                <c:pt idx="4">
                  <c:v>4443.6709266566013</c:v>
                </c:pt>
                <c:pt idx="5">
                  <c:v>1523.9459124011123</c:v>
                </c:pt>
                <c:pt idx="6">
                  <c:v>36774.949338631843</c:v>
                </c:pt>
                <c:pt idx="7">
                  <c:v>375.32105872490638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20088.795436719331</c:v>
                </c:pt>
                <c:pt idx="2">
                  <c:v>6686.8345180567021</c:v>
                </c:pt>
                <c:pt idx="3">
                  <c:v>179.43548932258821</c:v>
                </c:pt>
                <c:pt idx="4">
                  <c:v>4443.6709266566013</c:v>
                </c:pt>
                <c:pt idx="5">
                  <c:v>1523.9459124011123</c:v>
                </c:pt>
                <c:pt idx="6">
                  <c:v>36774.949338631843</c:v>
                </c:pt>
                <c:pt idx="7">
                  <c:v>375.32105872490638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31006</v>
      </c>
      <c r="B6" s="398"/>
      <c r="C6" s="399"/>
    </row>
    <row r="7" spans="1:7" s="396" customFormat="1" ht="15.75" customHeight="1">
      <c r="A7" s="400" t="str">
        <f>txtMunicipality</f>
        <v>DAMME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13225.347630402641</v>
      </c>
      <c r="D10" s="690">
        <f ca="1">tertiair!C16</f>
        <v>0</v>
      </c>
      <c r="E10" s="690">
        <f ca="1">tertiair!D16</f>
        <v>16842.470596697884</v>
      </c>
      <c r="F10" s="690">
        <f>tertiair!E16</f>
        <v>230.09529016740777</v>
      </c>
      <c r="G10" s="690">
        <f ca="1">tertiair!F16</f>
        <v>2563.2496419912013</v>
      </c>
      <c r="H10" s="690">
        <f>tertiair!G16</f>
        <v>0</v>
      </c>
      <c r="I10" s="690">
        <f>tertiair!H16</f>
        <v>0</v>
      </c>
      <c r="J10" s="690">
        <f>tertiair!I16</f>
        <v>0</v>
      </c>
      <c r="K10" s="690">
        <f>tertiair!J16</f>
        <v>0</v>
      </c>
      <c r="L10" s="690">
        <f>tertiair!K16</f>
        <v>0</v>
      </c>
      <c r="M10" s="690">
        <f ca="1">tertiair!L16</f>
        <v>0</v>
      </c>
      <c r="N10" s="690">
        <f>tertiair!M16</f>
        <v>0</v>
      </c>
      <c r="O10" s="690">
        <f ca="1">tertiair!N16</f>
        <v>876.06745602335036</v>
      </c>
      <c r="P10" s="690">
        <f>tertiair!O16</f>
        <v>4.6900000000000004</v>
      </c>
      <c r="Q10" s="691">
        <f>tertiair!P16</f>
        <v>19.066666666666666</v>
      </c>
      <c r="R10" s="693">
        <f ca="1">SUM(C10:Q10)</f>
        <v>33760.98728194915</v>
      </c>
      <c r="S10" s="67"/>
    </row>
    <row r="11" spans="1:19" s="458" customFormat="1">
      <c r="A11" s="805" t="s">
        <v>225</v>
      </c>
      <c r="B11" s="810"/>
      <c r="C11" s="690">
        <f>huishoudens!B8</f>
        <v>22328.162419017699</v>
      </c>
      <c r="D11" s="690">
        <f>huishoudens!C8</f>
        <v>0</v>
      </c>
      <c r="E11" s="690">
        <f>huishoudens!D8</f>
        <v>44841.96787569602</v>
      </c>
      <c r="F11" s="690">
        <f>huishoudens!E8</f>
        <v>7030.0347689263417</v>
      </c>
      <c r="G11" s="690">
        <f>huishoudens!F8</f>
        <v>15452.811947708902</v>
      </c>
      <c r="H11" s="690">
        <f>huishoudens!G8</f>
        <v>0</v>
      </c>
      <c r="I11" s="690">
        <f>huishoudens!H8</f>
        <v>0</v>
      </c>
      <c r="J11" s="690">
        <f>huishoudens!I8</f>
        <v>0</v>
      </c>
      <c r="K11" s="690">
        <f>huishoudens!J8</f>
        <v>1989.4023454454805</v>
      </c>
      <c r="L11" s="690">
        <f>huishoudens!K8</f>
        <v>0</v>
      </c>
      <c r="M11" s="690">
        <f>huishoudens!L8</f>
        <v>0</v>
      </c>
      <c r="N11" s="690">
        <f>huishoudens!M8</f>
        <v>0</v>
      </c>
      <c r="O11" s="690">
        <f>huishoudens!N8</f>
        <v>16442.777251418018</v>
      </c>
      <c r="P11" s="690">
        <f>huishoudens!O8</f>
        <v>140.70000000000002</v>
      </c>
      <c r="Q11" s="691">
        <f>huishoudens!P8</f>
        <v>343.2</v>
      </c>
      <c r="R11" s="693">
        <f>SUM(C11:Q11)</f>
        <v>108569.05660821247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2977.8696803659491</v>
      </c>
      <c r="D13" s="690">
        <f>industrie!C18</f>
        <v>0</v>
      </c>
      <c r="E13" s="690">
        <f>industrie!D18</f>
        <v>1921.7599490511025</v>
      </c>
      <c r="F13" s="690">
        <f>industrie!E18</f>
        <v>431.28479449661296</v>
      </c>
      <c r="G13" s="690">
        <f>industrie!F18</f>
        <v>1582.4873576848072</v>
      </c>
      <c r="H13" s="690">
        <f>industrie!G18</f>
        <v>0</v>
      </c>
      <c r="I13" s="690">
        <f>industrie!H18</f>
        <v>0</v>
      </c>
      <c r="J13" s="690">
        <f>industrie!I18</f>
        <v>0</v>
      </c>
      <c r="K13" s="690">
        <f>industrie!J18</f>
        <v>3.3805504756852267</v>
      </c>
      <c r="L13" s="690">
        <f>industrie!K18</f>
        <v>0</v>
      </c>
      <c r="M13" s="690">
        <f>industrie!L18</f>
        <v>0</v>
      </c>
      <c r="N13" s="690">
        <f>industrie!M18</f>
        <v>0</v>
      </c>
      <c r="O13" s="690">
        <f>industrie!N18</f>
        <v>743.85125030410143</v>
      </c>
      <c r="P13" s="690">
        <f>industrie!O18</f>
        <v>0</v>
      </c>
      <c r="Q13" s="691">
        <f>industrie!P18</f>
        <v>0</v>
      </c>
      <c r="R13" s="693">
        <f>SUM(C13:Q13)</f>
        <v>7660.6335823782583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38531.379729786284</v>
      </c>
      <c r="D16" s="725">
        <f t="shared" ref="D16:R16" ca="1" si="0">SUM(D9:D15)</f>
        <v>0</v>
      </c>
      <c r="E16" s="725">
        <f t="shared" ca="1" si="0"/>
        <v>63606.198421445006</v>
      </c>
      <c r="F16" s="725">
        <f t="shared" si="0"/>
        <v>7691.4148535903632</v>
      </c>
      <c r="G16" s="725">
        <f t="shared" ca="1" si="0"/>
        <v>19598.548947384912</v>
      </c>
      <c r="H16" s="725">
        <f t="shared" si="0"/>
        <v>0</v>
      </c>
      <c r="I16" s="725">
        <f t="shared" si="0"/>
        <v>0</v>
      </c>
      <c r="J16" s="725">
        <f t="shared" si="0"/>
        <v>0</v>
      </c>
      <c r="K16" s="725">
        <f t="shared" si="0"/>
        <v>1992.7828959211656</v>
      </c>
      <c r="L16" s="725">
        <f t="shared" si="0"/>
        <v>0</v>
      </c>
      <c r="M16" s="725">
        <f t="shared" ca="1" si="0"/>
        <v>0</v>
      </c>
      <c r="N16" s="725">
        <f t="shared" si="0"/>
        <v>0</v>
      </c>
      <c r="O16" s="725">
        <f t="shared" ca="1" si="0"/>
        <v>18062.695957745469</v>
      </c>
      <c r="P16" s="725">
        <f t="shared" si="0"/>
        <v>145.39000000000001</v>
      </c>
      <c r="Q16" s="725">
        <f t="shared" si="0"/>
        <v>362.26666666666665</v>
      </c>
      <c r="R16" s="725">
        <f t="shared" ca="1" si="0"/>
        <v>149990.67747253989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1405.6968491569526</v>
      </c>
      <c r="I19" s="690">
        <f>transport!H54</f>
        <v>0</v>
      </c>
      <c r="J19" s="690">
        <f>transport!I54</f>
        <v>0</v>
      </c>
      <c r="K19" s="690">
        <f>transport!J54</f>
        <v>0</v>
      </c>
      <c r="L19" s="690">
        <f>transport!K54</f>
        <v>0</v>
      </c>
      <c r="M19" s="690">
        <f>transport!L54</f>
        <v>0</v>
      </c>
      <c r="N19" s="690">
        <f>transport!M54</f>
        <v>62.514777098956081</v>
      </c>
      <c r="O19" s="690">
        <f>transport!N54</f>
        <v>0</v>
      </c>
      <c r="P19" s="690">
        <f>transport!O54</f>
        <v>0</v>
      </c>
      <c r="Q19" s="691">
        <f>transport!P54</f>
        <v>0</v>
      </c>
      <c r="R19" s="693">
        <f>SUM(C19:Q19)</f>
        <v>1468.2116262559086</v>
      </c>
      <c r="S19" s="67"/>
    </row>
    <row r="20" spans="1:19" s="458" customFormat="1">
      <c r="A20" s="805" t="s">
        <v>307</v>
      </c>
      <c r="B20" s="810"/>
      <c r="C20" s="690">
        <f>transport!B14</f>
        <v>8.2206025553771784</v>
      </c>
      <c r="D20" s="690">
        <f>transport!C14</f>
        <v>0</v>
      </c>
      <c r="E20" s="690">
        <f>transport!D14</f>
        <v>14.090888992667049</v>
      </c>
      <c r="F20" s="690">
        <f>transport!E14</f>
        <v>428.70981172336053</v>
      </c>
      <c r="G20" s="690">
        <f>transport!F14</f>
        <v>0</v>
      </c>
      <c r="H20" s="690">
        <f>transport!G14</f>
        <v>117738.87905371921</v>
      </c>
      <c r="I20" s="690">
        <f>transport!H14</f>
        <v>21031.364676613935</v>
      </c>
      <c r="J20" s="690">
        <f>transport!I14</f>
        <v>0</v>
      </c>
      <c r="K20" s="690">
        <f>transport!J14</f>
        <v>0</v>
      </c>
      <c r="L20" s="690">
        <f>transport!K14</f>
        <v>0</v>
      </c>
      <c r="M20" s="690">
        <f>transport!L14</f>
        <v>0</v>
      </c>
      <c r="N20" s="690">
        <f>transport!M14</f>
        <v>6273.2041009910163</v>
      </c>
      <c r="O20" s="690">
        <f>transport!N14</f>
        <v>0</v>
      </c>
      <c r="P20" s="690">
        <f>transport!O14</f>
        <v>0</v>
      </c>
      <c r="Q20" s="691">
        <f>transport!P14</f>
        <v>0</v>
      </c>
      <c r="R20" s="693">
        <f>SUM(C20:Q20)</f>
        <v>145494.46913459557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8.2206025553771784</v>
      </c>
      <c r="D22" s="808">
        <f t="shared" ref="D22:R22" si="1">SUM(D18:D21)</f>
        <v>0</v>
      </c>
      <c r="E22" s="808">
        <f t="shared" si="1"/>
        <v>14.090888992667049</v>
      </c>
      <c r="F22" s="808">
        <f t="shared" si="1"/>
        <v>428.70981172336053</v>
      </c>
      <c r="G22" s="808">
        <f t="shared" si="1"/>
        <v>0</v>
      </c>
      <c r="H22" s="808">
        <f t="shared" si="1"/>
        <v>119144.57590287617</v>
      </c>
      <c r="I22" s="808">
        <f t="shared" si="1"/>
        <v>21031.364676613935</v>
      </c>
      <c r="J22" s="808">
        <f t="shared" si="1"/>
        <v>0</v>
      </c>
      <c r="K22" s="808">
        <f t="shared" si="1"/>
        <v>0</v>
      </c>
      <c r="L22" s="808">
        <f t="shared" si="1"/>
        <v>0</v>
      </c>
      <c r="M22" s="808">
        <f t="shared" si="1"/>
        <v>0</v>
      </c>
      <c r="N22" s="808">
        <f t="shared" si="1"/>
        <v>6335.7188780899723</v>
      </c>
      <c r="O22" s="808">
        <f t="shared" si="1"/>
        <v>0</v>
      </c>
      <c r="P22" s="808">
        <f t="shared" si="1"/>
        <v>0</v>
      </c>
      <c r="Q22" s="808">
        <f t="shared" si="1"/>
        <v>0</v>
      </c>
      <c r="R22" s="808">
        <f t="shared" si="1"/>
        <v>146962.68076085148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3280.4045949822057</v>
      </c>
      <c r="D24" s="690">
        <f>+landbouw!C8</f>
        <v>0</v>
      </c>
      <c r="E24" s="690">
        <f>+landbouw!D8</f>
        <v>2778.0325567092491</v>
      </c>
      <c r="F24" s="690">
        <f>+landbouw!E8</f>
        <v>41.337323917131023</v>
      </c>
      <c r="G24" s="690">
        <f>+landbouw!F8</f>
        <v>11318.217643143646</v>
      </c>
      <c r="H24" s="690">
        <f>+landbouw!G8</f>
        <v>0</v>
      </c>
      <c r="I24" s="690">
        <f>+landbouw!H8</f>
        <v>0</v>
      </c>
      <c r="J24" s="690">
        <f>+landbouw!I8</f>
        <v>0</v>
      </c>
      <c r="K24" s="690">
        <f>+landbouw!J8</f>
        <v>493.33556076198596</v>
      </c>
      <c r="L24" s="690">
        <f>+landbouw!K8</f>
        <v>0</v>
      </c>
      <c r="M24" s="690">
        <f>+landbouw!L8</f>
        <v>0</v>
      </c>
      <c r="N24" s="690">
        <f>+landbouw!M8</f>
        <v>0</v>
      </c>
      <c r="O24" s="690">
        <f>+landbouw!N8</f>
        <v>0</v>
      </c>
      <c r="P24" s="690">
        <f>+landbouw!O8</f>
        <v>0</v>
      </c>
      <c r="Q24" s="691">
        <f>+landbouw!P8</f>
        <v>0</v>
      </c>
      <c r="R24" s="693">
        <f>SUM(C24:Q24)</f>
        <v>17911.327679514216</v>
      </c>
      <c r="S24" s="67"/>
    </row>
    <row r="25" spans="1:19" s="458" customFormat="1" ht="15" thickBot="1">
      <c r="A25" s="827" t="s">
        <v>872</v>
      </c>
      <c r="B25" s="1004"/>
      <c r="C25" s="1005">
        <f>IF(Onbekend_ele_kWh="---",0,Onbekend_ele_kWh)/1000+IF(REST_rest_ele_kWh="---",0,REST_rest_ele_kWh)/1000</f>
        <v>865.16864514123995</v>
      </c>
      <c r="D25" s="1005"/>
      <c r="E25" s="1005">
        <f>IF(onbekend_gas_kWh="---",0,onbekend_gas_kWh)/1000+IF(REST_rest_gas_kWh="---",0,REST_rest_gas_kWh)/1000</f>
        <v>1399.06492178296</v>
      </c>
      <c r="F25" s="1005"/>
      <c r="G25" s="1005"/>
      <c r="H25" s="1005"/>
      <c r="I25" s="1005"/>
      <c r="J25" s="1005"/>
      <c r="K25" s="1005"/>
      <c r="L25" s="1005"/>
      <c r="M25" s="1005"/>
      <c r="N25" s="1005"/>
      <c r="O25" s="1005"/>
      <c r="P25" s="1005"/>
      <c r="Q25" s="1006"/>
      <c r="R25" s="693">
        <f>SUM(C25:Q25)</f>
        <v>2264.2335669242002</v>
      </c>
      <c r="S25" s="67"/>
    </row>
    <row r="26" spans="1:19" s="458" customFormat="1" ht="15.75" thickBot="1">
      <c r="A26" s="698" t="s">
        <v>873</v>
      </c>
      <c r="B26" s="813"/>
      <c r="C26" s="808">
        <f>SUM(C24:C25)</f>
        <v>4145.5732401234454</v>
      </c>
      <c r="D26" s="808">
        <f t="shared" ref="D26:R26" si="2">SUM(D24:D25)</f>
        <v>0</v>
      </c>
      <c r="E26" s="808">
        <f t="shared" si="2"/>
        <v>4177.0974784922091</v>
      </c>
      <c r="F26" s="808">
        <f t="shared" si="2"/>
        <v>41.337323917131023</v>
      </c>
      <c r="G26" s="808">
        <f t="shared" si="2"/>
        <v>11318.217643143646</v>
      </c>
      <c r="H26" s="808">
        <f t="shared" si="2"/>
        <v>0</v>
      </c>
      <c r="I26" s="808">
        <f t="shared" si="2"/>
        <v>0</v>
      </c>
      <c r="J26" s="808">
        <f t="shared" si="2"/>
        <v>0</v>
      </c>
      <c r="K26" s="808">
        <f t="shared" si="2"/>
        <v>493.33556076198596</v>
      </c>
      <c r="L26" s="808">
        <f t="shared" si="2"/>
        <v>0</v>
      </c>
      <c r="M26" s="808">
        <f t="shared" si="2"/>
        <v>0</v>
      </c>
      <c r="N26" s="808">
        <f t="shared" si="2"/>
        <v>0</v>
      </c>
      <c r="O26" s="808">
        <f t="shared" si="2"/>
        <v>0</v>
      </c>
      <c r="P26" s="808">
        <f t="shared" si="2"/>
        <v>0</v>
      </c>
      <c r="Q26" s="808">
        <f t="shared" si="2"/>
        <v>0</v>
      </c>
      <c r="R26" s="808">
        <f t="shared" si="2"/>
        <v>20175.561246438418</v>
      </c>
      <c r="S26" s="67"/>
    </row>
    <row r="27" spans="1:19" s="458" customFormat="1" ht="17.25" thickTop="1" thickBot="1">
      <c r="A27" s="699" t="s">
        <v>116</v>
      </c>
      <c r="B27" s="800"/>
      <c r="C27" s="700">
        <f ca="1">C22+C16+C26</f>
        <v>42685.173572465108</v>
      </c>
      <c r="D27" s="700">
        <f t="shared" ref="D27:R27" ca="1" si="3">D22+D16+D26</f>
        <v>0</v>
      </c>
      <c r="E27" s="700">
        <f t="shared" ca="1" si="3"/>
        <v>67797.386788929885</v>
      </c>
      <c r="F27" s="700">
        <f t="shared" si="3"/>
        <v>8161.4619892308556</v>
      </c>
      <c r="G27" s="700">
        <f t="shared" ca="1" si="3"/>
        <v>30916.766590528558</v>
      </c>
      <c r="H27" s="700">
        <f t="shared" si="3"/>
        <v>119144.57590287617</v>
      </c>
      <c r="I27" s="700">
        <f t="shared" si="3"/>
        <v>21031.364676613935</v>
      </c>
      <c r="J27" s="700">
        <f t="shared" si="3"/>
        <v>0</v>
      </c>
      <c r="K27" s="700">
        <f t="shared" si="3"/>
        <v>2486.1184566831516</v>
      </c>
      <c r="L27" s="700">
        <f t="shared" si="3"/>
        <v>0</v>
      </c>
      <c r="M27" s="700">
        <f t="shared" ca="1" si="3"/>
        <v>0</v>
      </c>
      <c r="N27" s="700">
        <f t="shared" si="3"/>
        <v>6335.7188780899723</v>
      </c>
      <c r="O27" s="700">
        <f t="shared" ca="1" si="3"/>
        <v>18062.695957745469</v>
      </c>
      <c r="P27" s="700">
        <f t="shared" si="3"/>
        <v>145.39000000000001</v>
      </c>
      <c r="Q27" s="700">
        <f t="shared" si="3"/>
        <v>362.26666666666665</v>
      </c>
      <c r="R27" s="700">
        <f t="shared" ca="1" si="3"/>
        <v>317128.91947982978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2727.4716615666639</v>
      </c>
      <c r="D40" s="690">
        <f ca="1">tertiair!C20</f>
        <v>0</v>
      </c>
      <c r="E40" s="690">
        <f ca="1">tertiair!D20</f>
        <v>3402.1790605329729</v>
      </c>
      <c r="F40" s="690">
        <f>tertiair!E20</f>
        <v>52.231630868001567</v>
      </c>
      <c r="G40" s="690">
        <f ca="1">tertiair!F20</f>
        <v>684.38765441165083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6866.2700073792903</v>
      </c>
    </row>
    <row r="41" spans="1:18">
      <c r="A41" s="818" t="s">
        <v>225</v>
      </c>
      <c r="B41" s="825"/>
      <c r="C41" s="690">
        <f ca="1">huishoudens!B12</f>
        <v>4604.7508129564749</v>
      </c>
      <c r="D41" s="690">
        <f ca="1">huishoudens!C12</f>
        <v>0</v>
      </c>
      <c r="E41" s="690">
        <f>huishoudens!D12</f>
        <v>9058.0775108905964</v>
      </c>
      <c r="F41" s="690">
        <f>huishoudens!E12</f>
        <v>1595.8178925462796</v>
      </c>
      <c r="G41" s="690">
        <f>huishoudens!F12</f>
        <v>4125.9007900382767</v>
      </c>
      <c r="H41" s="690">
        <f>huishoudens!G12</f>
        <v>0</v>
      </c>
      <c r="I41" s="690">
        <f>huishoudens!H12</f>
        <v>0</v>
      </c>
      <c r="J41" s="690">
        <f>huishoudens!I12</f>
        <v>0</v>
      </c>
      <c r="K41" s="690">
        <f>huishoudens!J12</f>
        <v>704.2484302877001</v>
      </c>
      <c r="L41" s="690">
        <f>huishoudens!K12</f>
        <v>0</v>
      </c>
      <c r="M41" s="690">
        <f>huishoudens!L12</f>
        <v>0</v>
      </c>
      <c r="N41" s="690">
        <f>huishoudens!M12</f>
        <v>0</v>
      </c>
      <c r="O41" s="690">
        <f>huishoudens!N12</f>
        <v>0</v>
      </c>
      <c r="P41" s="690">
        <f>huishoudens!O12</f>
        <v>0</v>
      </c>
      <c r="Q41" s="767">
        <f>huishoudens!P12</f>
        <v>0</v>
      </c>
      <c r="R41" s="846">
        <f t="shared" ca="1" si="4"/>
        <v>20088.795436719331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614.12791497182241</v>
      </c>
      <c r="D43" s="690">
        <f ca="1">industrie!C22</f>
        <v>0</v>
      </c>
      <c r="E43" s="690">
        <f>industrie!D22</f>
        <v>388.19550970832273</v>
      </c>
      <c r="F43" s="690">
        <f>industrie!E22</f>
        <v>97.901648350731151</v>
      </c>
      <c r="G43" s="690">
        <f>industrie!F22</f>
        <v>422.52412450184352</v>
      </c>
      <c r="H43" s="690">
        <f>industrie!G22</f>
        <v>0</v>
      </c>
      <c r="I43" s="690">
        <f>industrie!H22</f>
        <v>0</v>
      </c>
      <c r="J43" s="690">
        <f>industrie!I22</f>
        <v>0</v>
      </c>
      <c r="K43" s="690">
        <f>industrie!J22</f>
        <v>1.1967148683925701</v>
      </c>
      <c r="L43" s="690">
        <f>industrie!K22</f>
        <v>0</v>
      </c>
      <c r="M43" s="690">
        <f>industrie!L22</f>
        <v>0</v>
      </c>
      <c r="N43" s="690">
        <f>industrie!M22</f>
        <v>0</v>
      </c>
      <c r="O43" s="690">
        <f>industrie!N22</f>
        <v>0</v>
      </c>
      <c r="P43" s="690">
        <f>industrie!O22</f>
        <v>0</v>
      </c>
      <c r="Q43" s="767">
        <f>industrie!P22</f>
        <v>0</v>
      </c>
      <c r="R43" s="845">
        <f t="shared" ca="1" si="4"/>
        <v>1523.9459124011123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7946.3503894949608</v>
      </c>
      <c r="D46" s="725">
        <f t="shared" ref="D46:Q46" ca="1" si="5">SUM(D39:D45)</f>
        <v>0</v>
      </c>
      <c r="E46" s="725">
        <f t="shared" ca="1" si="5"/>
        <v>12848.452081131893</v>
      </c>
      <c r="F46" s="725">
        <f t="shared" si="5"/>
        <v>1745.9511717650123</v>
      </c>
      <c r="G46" s="725">
        <f t="shared" ca="1" si="5"/>
        <v>5232.812568951771</v>
      </c>
      <c r="H46" s="725">
        <f t="shared" si="5"/>
        <v>0</v>
      </c>
      <c r="I46" s="725">
        <f t="shared" si="5"/>
        <v>0</v>
      </c>
      <c r="J46" s="725">
        <f t="shared" si="5"/>
        <v>0</v>
      </c>
      <c r="K46" s="725">
        <f t="shared" si="5"/>
        <v>705.44514515609262</v>
      </c>
      <c r="L46" s="725">
        <f t="shared" si="5"/>
        <v>0</v>
      </c>
      <c r="M46" s="725">
        <f t="shared" ca="1" si="5"/>
        <v>0</v>
      </c>
      <c r="N46" s="725">
        <f t="shared" si="5"/>
        <v>0</v>
      </c>
      <c r="O46" s="725">
        <f t="shared" ca="1" si="5"/>
        <v>0</v>
      </c>
      <c r="P46" s="725">
        <f t="shared" si="5"/>
        <v>0</v>
      </c>
      <c r="Q46" s="725">
        <f t="shared" si="5"/>
        <v>0</v>
      </c>
      <c r="R46" s="725">
        <f ca="1">SUM(R39:R45)</f>
        <v>28479.011356499734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375.32105872490638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375.32105872490638</v>
      </c>
    </row>
    <row r="50" spans="1:18">
      <c r="A50" s="821" t="s">
        <v>307</v>
      </c>
      <c r="B50" s="831"/>
      <c r="C50" s="696">
        <f ca="1">transport!B18</f>
        <v>1.6953399742212405</v>
      </c>
      <c r="D50" s="696">
        <f>transport!C18</f>
        <v>0</v>
      </c>
      <c r="E50" s="696">
        <f>transport!D18</f>
        <v>2.8463595765187439</v>
      </c>
      <c r="F50" s="696">
        <f>transport!E18</f>
        <v>97.317127261202842</v>
      </c>
      <c r="G50" s="696">
        <f>transport!F18</f>
        <v>0</v>
      </c>
      <c r="H50" s="696">
        <f>transport!G18</f>
        <v>31436.28070734303</v>
      </c>
      <c r="I50" s="696">
        <f>transport!H18</f>
        <v>5236.8098044768703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36774.949338631843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1.6953399742212405</v>
      </c>
      <c r="D52" s="725">
        <f t="shared" ref="D52:Q52" ca="1" si="6">SUM(D48:D51)</f>
        <v>0</v>
      </c>
      <c r="E52" s="725">
        <f t="shared" si="6"/>
        <v>2.8463595765187439</v>
      </c>
      <c r="F52" s="725">
        <f t="shared" si="6"/>
        <v>97.317127261202842</v>
      </c>
      <c r="G52" s="725">
        <f t="shared" si="6"/>
        <v>0</v>
      </c>
      <c r="H52" s="725">
        <f t="shared" si="6"/>
        <v>31811.601766067935</v>
      </c>
      <c r="I52" s="725">
        <f t="shared" si="6"/>
        <v>5236.8098044768703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37150.270397356748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676.51987844304711</v>
      </c>
      <c r="D54" s="696">
        <f ca="1">+landbouw!C12</f>
        <v>0</v>
      </c>
      <c r="E54" s="696">
        <f>+landbouw!D12</f>
        <v>561.16257645526832</v>
      </c>
      <c r="F54" s="696">
        <f>+landbouw!E12</f>
        <v>9.3835725291887417</v>
      </c>
      <c r="G54" s="696">
        <f>+landbouw!F12</f>
        <v>3021.9641107193534</v>
      </c>
      <c r="H54" s="696">
        <f>+landbouw!G12</f>
        <v>0</v>
      </c>
      <c r="I54" s="696">
        <f>+landbouw!H12</f>
        <v>0</v>
      </c>
      <c r="J54" s="696">
        <f>+landbouw!I12</f>
        <v>0</v>
      </c>
      <c r="K54" s="696">
        <f>+landbouw!J12</f>
        <v>174.64078850974303</v>
      </c>
      <c r="L54" s="696">
        <f>+landbouw!K12</f>
        <v>0</v>
      </c>
      <c r="M54" s="696">
        <f>+landbouw!L12</f>
        <v>0</v>
      </c>
      <c r="N54" s="696">
        <f>+landbouw!M12</f>
        <v>0</v>
      </c>
      <c r="O54" s="696">
        <f>+landbouw!N12</f>
        <v>0</v>
      </c>
      <c r="P54" s="696">
        <f>+landbouw!O12</f>
        <v>0</v>
      </c>
      <c r="Q54" s="697">
        <f>+landbouw!P12</f>
        <v>0</v>
      </c>
      <c r="R54" s="724">
        <f ca="1">SUM(C54:Q54)</f>
        <v>4443.6709266566013</v>
      </c>
    </row>
    <row r="55" spans="1:18" ht="15" thickBot="1">
      <c r="A55" s="821" t="s">
        <v>872</v>
      </c>
      <c r="B55" s="831"/>
      <c r="C55" s="696">
        <f ca="1">C25*'EF ele_warmte'!B12</f>
        <v>178.42426740255874</v>
      </c>
      <c r="D55" s="696"/>
      <c r="E55" s="696">
        <f>E25*EF_CO2_aardgas</f>
        <v>282.61111420015794</v>
      </c>
      <c r="F55" s="696"/>
      <c r="G55" s="696"/>
      <c r="H55" s="696"/>
      <c r="I55" s="696"/>
      <c r="J55" s="696"/>
      <c r="K55" s="696"/>
      <c r="L55" s="696"/>
      <c r="M55" s="696"/>
      <c r="N55" s="696"/>
      <c r="O55" s="696"/>
      <c r="P55" s="696"/>
      <c r="Q55" s="697"/>
      <c r="R55" s="724">
        <f ca="1">SUM(C55:Q55)</f>
        <v>461.03538160271671</v>
      </c>
    </row>
    <row r="56" spans="1:18" ht="15.75" thickBot="1">
      <c r="A56" s="819" t="s">
        <v>873</v>
      </c>
      <c r="B56" s="832"/>
      <c r="C56" s="725">
        <f ca="1">SUM(C54:C55)</f>
        <v>854.94414584560582</v>
      </c>
      <c r="D56" s="725">
        <f t="shared" ref="D56:Q56" ca="1" si="7">SUM(D54:D55)</f>
        <v>0</v>
      </c>
      <c r="E56" s="725">
        <f t="shared" si="7"/>
        <v>843.77369065542621</v>
      </c>
      <c r="F56" s="725">
        <f t="shared" si="7"/>
        <v>9.3835725291887417</v>
      </c>
      <c r="G56" s="725">
        <f t="shared" si="7"/>
        <v>3021.9641107193534</v>
      </c>
      <c r="H56" s="725">
        <f t="shared" si="7"/>
        <v>0</v>
      </c>
      <c r="I56" s="725">
        <f t="shared" si="7"/>
        <v>0</v>
      </c>
      <c r="J56" s="725">
        <f t="shared" si="7"/>
        <v>0</v>
      </c>
      <c r="K56" s="725">
        <f t="shared" si="7"/>
        <v>174.64078850974303</v>
      </c>
      <c r="L56" s="725">
        <f t="shared" si="7"/>
        <v>0</v>
      </c>
      <c r="M56" s="725">
        <f t="shared" si="7"/>
        <v>0</v>
      </c>
      <c r="N56" s="725">
        <f t="shared" si="7"/>
        <v>0</v>
      </c>
      <c r="O56" s="725">
        <f t="shared" si="7"/>
        <v>0</v>
      </c>
      <c r="P56" s="725">
        <f t="shared" si="7"/>
        <v>0</v>
      </c>
      <c r="Q56" s="726">
        <f t="shared" si="7"/>
        <v>0</v>
      </c>
      <c r="R56" s="727">
        <f ca="1">SUM(R54:R55)</f>
        <v>4904.7063082593177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8802.9898753147882</v>
      </c>
      <c r="D61" s="733">
        <f t="shared" ref="D61:Q61" ca="1" si="8">D46+D52+D56</f>
        <v>0</v>
      </c>
      <c r="E61" s="733">
        <f t="shared" ca="1" si="8"/>
        <v>13695.072131363837</v>
      </c>
      <c r="F61" s="733">
        <f t="shared" si="8"/>
        <v>1852.6518715554039</v>
      </c>
      <c r="G61" s="733">
        <f t="shared" ca="1" si="8"/>
        <v>8254.7766796711239</v>
      </c>
      <c r="H61" s="733">
        <f t="shared" si="8"/>
        <v>31811.601766067935</v>
      </c>
      <c r="I61" s="733">
        <f t="shared" si="8"/>
        <v>5236.8098044768703</v>
      </c>
      <c r="J61" s="733">
        <f t="shared" si="8"/>
        <v>0</v>
      </c>
      <c r="K61" s="733">
        <f t="shared" si="8"/>
        <v>880.08593366583568</v>
      </c>
      <c r="L61" s="733">
        <f t="shared" si="8"/>
        <v>0</v>
      </c>
      <c r="M61" s="733">
        <f t="shared" ca="1" si="8"/>
        <v>0</v>
      </c>
      <c r="N61" s="733">
        <f t="shared" si="8"/>
        <v>0</v>
      </c>
      <c r="O61" s="733">
        <f t="shared" ca="1" si="8"/>
        <v>0</v>
      </c>
      <c r="P61" s="733">
        <f t="shared" si="8"/>
        <v>0</v>
      </c>
      <c r="Q61" s="733">
        <f t="shared" si="8"/>
        <v>0</v>
      </c>
      <c r="R61" s="733">
        <f ca="1">R46+R52+R56</f>
        <v>70533.988062115808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0.20623062151475766</v>
      </c>
      <c r="D63" s="776">
        <f t="shared" ca="1" si="9"/>
        <v>0</v>
      </c>
      <c r="E63" s="1011">
        <f t="shared" ca="1" si="9"/>
        <v>0.20200000000000001</v>
      </c>
      <c r="F63" s="776">
        <f t="shared" si="9"/>
        <v>0.22699999999999995</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2852.6401999999998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2852.6401999999998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22328.162419017699</v>
      </c>
      <c r="C4" s="462">
        <f>huishoudens!C8</f>
        <v>0</v>
      </c>
      <c r="D4" s="462">
        <f>huishoudens!D8</f>
        <v>44841.96787569602</v>
      </c>
      <c r="E4" s="462">
        <f>huishoudens!E8</f>
        <v>7030.0347689263417</v>
      </c>
      <c r="F4" s="462">
        <f>huishoudens!F8</f>
        <v>15452.811947708902</v>
      </c>
      <c r="G4" s="462">
        <f>huishoudens!G8</f>
        <v>0</v>
      </c>
      <c r="H4" s="462">
        <f>huishoudens!H8</f>
        <v>0</v>
      </c>
      <c r="I4" s="462">
        <f>huishoudens!I8</f>
        <v>0</v>
      </c>
      <c r="J4" s="462">
        <f>huishoudens!J8</f>
        <v>1989.4023454454805</v>
      </c>
      <c r="K4" s="462">
        <f>huishoudens!K8</f>
        <v>0</v>
      </c>
      <c r="L4" s="462">
        <f>huishoudens!L8</f>
        <v>0</v>
      </c>
      <c r="M4" s="462">
        <f>huishoudens!M8</f>
        <v>0</v>
      </c>
      <c r="N4" s="462">
        <f>huishoudens!N8</f>
        <v>16442.777251418018</v>
      </c>
      <c r="O4" s="462">
        <f>huishoudens!O8</f>
        <v>140.70000000000002</v>
      </c>
      <c r="P4" s="463">
        <f>huishoudens!P8</f>
        <v>343.2</v>
      </c>
      <c r="Q4" s="464">
        <f>SUM(B4:P4)</f>
        <v>108569.05660821247</v>
      </c>
    </row>
    <row r="5" spans="1:17">
      <c r="A5" s="461" t="s">
        <v>156</v>
      </c>
      <c r="B5" s="462">
        <f ca="1">tertiair!B16</f>
        <v>12355.275630402641</v>
      </c>
      <c r="C5" s="462">
        <f ca="1">tertiair!C16</f>
        <v>0</v>
      </c>
      <c r="D5" s="462">
        <f ca="1">tertiair!D16</f>
        <v>16842.470596697884</v>
      </c>
      <c r="E5" s="462">
        <f>tertiair!E16</f>
        <v>230.09529016740777</v>
      </c>
      <c r="F5" s="462">
        <f ca="1">tertiair!F16</f>
        <v>2563.2496419912013</v>
      </c>
      <c r="G5" s="462">
        <f>tertiair!G16</f>
        <v>0</v>
      </c>
      <c r="H5" s="462">
        <f>tertiair!H16</f>
        <v>0</v>
      </c>
      <c r="I5" s="462">
        <f>tertiair!I16</f>
        <v>0</v>
      </c>
      <c r="J5" s="462">
        <f>tertiair!J16</f>
        <v>0</v>
      </c>
      <c r="K5" s="462">
        <f>tertiair!K16</f>
        <v>0</v>
      </c>
      <c r="L5" s="462">
        <f ca="1">tertiair!L16</f>
        <v>0</v>
      </c>
      <c r="M5" s="462">
        <f>tertiair!M16</f>
        <v>0</v>
      </c>
      <c r="N5" s="462">
        <f ca="1">tertiair!N16</f>
        <v>876.06745602335036</v>
      </c>
      <c r="O5" s="462">
        <f>tertiair!O16</f>
        <v>4.6900000000000004</v>
      </c>
      <c r="P5" s="463">
        <f>tertiair!P16</f>
        <v>19.066666666666666</v>
      </c>
      <c r="Q5" s="461">
        <f t="shared" ref="Q5:Q14" ca="1" si="0">SUM(B5:P5)</f>
        <v>32890.91528194915</v>
      </c>
    </row>
    <row r="6" spans="1:17">
      <c r="A6" s="461" t="s">
        <v>194</v>
      </c>
      <c r="B6" s="462">
        <f>'openbare verlichting'!B8</f>
        <v>870.072</v>
      </c>
      <c r="C6" s="462"/>
      <c r="D6" s="462"/>
      <c r="E6" s="462"/>
      <c r="F6" s="462"/>
      <c r="G6" s="462"/>
      <c r="H6" s="462"/>
      <c r="I6" s="462"/>
      <c r="J6" s="462"/>
      <c r="K6" s="462"/>
      <c r="L6" s="462"/>
      <c r="M6" s="462"/>
      <c r="N6" s="462"/>
      <c r="O6" s="462"/>
      <c r="P6" s="463"/>
      <c r="Q6" s="461">
        <f t="shared" si="0"/>
        <v>870.072</v>
      </c>
    </row>
    <row r="7" spans="1:17">
      <c r="A7" s="461" t="s">
        <v>112</v>
      </c>
      <c r="B7" s="462">
        <f>landbouw!B8</f>
        <v>3280.4045949822057</v>
      </c>
      <c r="C7" s="462">
        <f>landbouw!C8</f>
        <v>0</v>
      </c>
      <c r="D7" s="462">
        <f>landbouw!D8</f>
        <v>2778.0325567092491</v>
      </c>
      <c r="E7" s="462">
        <f>landbouw!E8</f>
        <v>41.337323917131023</v>
      </c>
      <c r="F7" s="462">
        <f>landbouw!F8</f>
        <v>11318.217643143646</v>
      </c>
      <c r="G7" s="462">
        <f>landbouw!G8</f>
        <v>0</v>
      </c>
      <c r="H7" s="462">
        <f>landbouw!H8</f>
        <v>0</v>
      </c>
      <c r="I7" s="462">
        <f>landbouw!I8</f>
        <v>0</v>
      </c>
      <c r="J7" s="462">
        <f>landbouw!J8</f>
        <v>493.33556076198596</v>
      </c>
      <c r="K7" s="462">
        <f>landbouw!K8</f>
        <v>0</v>
      </c>
      <c r="L7" s="462">
        <f>landbouw!L8</f>
        <v>0</v>
      </c>
      <c r="M7" s="462">
        <f>landbouw!M8</f>
        <v>0</v>
      </c>
      <c r="N7" s="462">
        <f>landbouw!N8</f>
        <v>0</v>
      </c>
      <c r="O7" s="462">
        <f>landbouw!O8</f>
        <v>0</v>
      </c>
      <c r="P7" s="463">
        <f>landbouw!P8</f>
        <v>0</v>
      </c>
      <c r="Q7" s="461">
        <f t="shared" si="0"/>
        <v>17911.327679514216</v>
      </c>
    </row>
    <row r="8" spans="1:17">
      <c r="A8" s="461" t="s">
        <v>657</v>
      </c>
      <c r="B8" s="462">
        <f>industrie!B18</f>
        <v>2977.8696803659491</v>
      </c>
      <c r="C8" s="462">
        <f>industrie!C18</f>
        <v>0</v>
      </c>
      <c r="D8" s="462">
        <f>industrie!D18</f>
        <v>1921.7599490511025</v>
      </c>
      <c r="E8" s="462">
        <f>industrie!E18</f>
        <v>431.28479449661296</v>
      </c>
      <c r="F8" s="462">
        <f>industrie!F18</f>
        <v>1582.4873576848072</v>
      </c>
      <c r="G8" s="462">
        <f>industrie!G18</f>
        <v>0</v>
      </c>
      <c r="H8" s="462">
        <f>industrie!H18</f>
        <v>0</v>
      </c>
      <c r="I8" s="462">
        <f>industrie!I18</f>
        <v>0</v>
      </c>
      <c r="J8" s="462">
        <f>industrie!J18</f>
        <v>3.3805504756852267</v>
      </c>
      <c r="K8" s="462">
        <f>industrie!K18</f>
        <v>0</v>
      </c>
      <c r="L8" s="462">
        <f>industrie!L18</f>
        <v>0</v>
      </c>
      <c r="M8" s="462">
        <f>industrie!M18</f>
        <v>0</v>
      </c>
      <c r="N8" s="462">
        <f>industrie!N18</f>
        <v>743.85125030410143</v>
      </c>
      <c r="O8" s="462">
        <f>industrie!O18</f>
        <v>0</v>
      </c>
      <c r="P8" s="463">
        <f>industrie!P18</f>
        <v>0</v>
      </c>
      <c r="Q8" s="461">
        <f t="shared" si="0"/>
        <v>7660.6335823782583</v>
      </c>
    </row>
    <row r="9" spans="1:17" s="467" customFormat="1">
      <c r="A9" s="465" t="s">
        <v>574</v>
      </c>
      <c r="B9" s="466">
        <f>transport!B14</f>
        <v>8.2206025553771784</v>
      </c>
      <c r="C9" s="466">
        <f>transport!C14</f>
        <v>0</v>
      </c>
      <c r="D9" s="466">
        <f>transport!D14</f>
        <v>14.090888992667049</v>
      </c>
      <c r="E9" s="466">
        <f>transport!E14</f>
        <v>428.70981172336053</v>
      </c>
      <c r="F9" s="466">
        <f>transport!F14</f>
        <v>0</v>
      </c>
      <c r="G9" s="466">
        <f>transport!G14</f>
        <v>117738.87905371921</v>
      </c>
      <c r="H9" s="466">
        <f>transport!H14</f>
        <v>21031.364676613935</v>
      </c>
      <c r="I9" s="466">
        <f>transport!I14</f>
        <v>0</v>
      </c>
      <c r="J9" s="466">
        <f>transport!J14</f>
        <v>0</v>
      </c>
      <c r="K9" s="466">
        <f>transport!K14</f>
        <v>0</v>
      </c>
      <c r="L9" s="466">
        <f>transport!L14</f>
        <v>0</v>
      </c>
      <c r="M9" s="466">
        <f>transport!M14</f>
        <v>6273.2041009910163</v>
      </c>
      <c r="N9" s="466">
        <f>transport!N14</f>
        <v>0</v>
      </c>
      <c r="O9" s="466">
        <f>transport!O14</f>
        <v>0</v>
      </c>
      <c r="P9" s="466">
        <f>transport!P14</f>
        <v>0</v>
      </c>
      <c r="Q9" s="465">
        <f>SUM(B9:P9)</f>
        <v>145494.46913459557</v>
      </c>
    </row>
    <row r="10" spans="1:17">
      <c r="A10" s="461" t="s">
        <v>564</v>
      </c>
      <c r="B10" s="462">
        <f>transport!B54</f>
        <v>0</v>
      </c>
      <c r="C10" s="462">
        <f>transport!C54</f>
        <v>0</v>
      </c>
      <c r="D10" s="462">
        <f>transport!D54</f>
        <v>0</v>
      </c>
      <c r="E10" s="462">
        <f>transport!E54</f>
        <v>0</v>
      </c>
      <c r="F10" s="462">
        <f>transport!F54</f>
        <v>0</v>
      </c>
      <c r="G10" s="462">
        <f>transport!G54</f>
        <v>1405.6968491569526</v>
      </c>
      <c r="H10" s="462">
        <f>transport!H54</f>
        <v>0</v>
      </c>
      <c r="I10" s="462">
        <f>transport!I54</f>
        <v>0</v>
      </c>
      <c r="J10" s="462">
        <f>transport!J54</f>
        <v>0</v>
      </c>
      <c r="K10" s="462">
        <f>transport!K54</f>
        <v>0</v>
      </c>
      <c r="L10" s="462">
        <f>transport!L54</f>
        <v>0</v>
      </c>
      <c r="M10" s="462">
        <f>transport!M54</f>
        <v>62.514777098956081</v>
      </c>
      <c r="N10" s="462">
        <f>transport!N54</f>
        <v>0</v>
      </c>
      <c r="O10" s="462">
        <f>transport!O54</f>
        <v>0</v>
      </c>
      <c r="P10" s="463">
        <f>transport!P54</f>
        <v>0</v>
      </c>
      <c r="Q10" s="461">
        <f t="shared" si="0"/>
        <v>1468.2116262559086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865.16864514123995</v>
      </c>
      <c r="C14" s="469"/>
      <c r="D14" s="469">
        <f>'SEAP template'!E25</f>
        <v>1399.06492178296</v>
      </c>
      <c r="E14" s="469"/>
      <c r="F14" s="469"/>
      <c r="G14" s="469"/>
      <c r="H14" s="469"/>
      <c r="I14" s="469"/>
      <c r="J14" s="469"/>
      <c r="K14" s="469"/>
      <c r="L14" s="469"/>
      <c r="M14" s="469"/>
      <c r="N14" s="469"/>
      <c r="O14" s="469"/>
      <c r="P14" s="470"/>
      <c r="Q14" s="461">
        <f t="shared" si="0"/>
        <v>2264.2335669242002</v>
      </c>
    </row>
    <row r="15" spans="1:17" s="474" customFormat="1">
      <c r="A15" s="471" t="s">
        <v>568</v>
      </c>
      <c r="B15" s="472">
        <f ca="1">SUM(B4:B14)</f>
        <v>42685.173572465101</v>
      </c>
      <c r="C15" s="472">
        <f t="shared" ref="C15:Q15" ca="1" si="1">SUM(C4:C14)</f>
        <v>0</v>
      </c>
      <c r="D15" s="472">
        <f t="shared" ca="1" si="1"/>
        <v>67797.386788929885</v>
      </c>
      <c r="E15" s="472">
        <f t="shared" si="1"/>
        <v>8161.4619892308556</v>
      </c>
      <c r="F15" s="472">
        <f t="shared" ca="1" si="1"/>
        <v>30916.766590528558</v>
      </c>
      <c r="G15" s="472">
        <f t="shared" si="1"/>
        <v>119144.57590287617</v>
      </c>
      <c r="H15" s="472">
        <f t="shared" si="1"/>
        <v>21031.364676613935</v>
      </c>
      <c r="I15" s="472">
        <f t="shared" si="1"/>
        <v>0</v>
      </c>
      <c r="J15" s="472">
        <f t="shared" si="1"/>
        <v>2486.1184566831516</v>
      </c>
      <c r="K15" s="472">
        <f t="shared" si="1"/>
        <v>0</v>
      </c>
      <c r="L15" s="472">
        <f t="shared" ca="1" si="1"/>
        <v>0</v>
      </c>
      <c r="M15" s="472">
        <f t="shared" si="1"/>
        <v>6335.7188780899723</v>
      </c>
      <c r="N15" s="472">
        <f t="shared" ca="1" si="1"/>
        <v>18062.695957745469</v>
      </c>
      <c r="O15" s="472">
        <f t="shared" si="1"/>
        <v>145.39000000000001</v>
      </c>
      <c r="P15" s="472">
        <f t="shared" si="1"/>
        <v>362.26666666666665</v>
      </c>
      <c r="Q15" s="472">
        <f t="shared" ca="1" si="1"/>
        <v>317128.91947982972</v>
      </c>
    </row>
    <row r="17" spans="1:17">
      <c r="A17" s="475" t="s">
        <v>569</v>
      </c>
      <c r="B17" s="781">
        <f ca="1">huishoudens!B10</f>
        <v>0.20623062151475766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4604.7508129564749</v>
      </c>
      <c r="C22" s="462">
        <f t="shared" ref="C22:C32" ca="1" si="3">C4*$C$17</f>
        <v>0</v>
      </c>
      <c r="D22" s="462">
        <f t="shared" ref="D22:D32" si="4">D4*$D$17</f>
        <v>9058.0775108905964</v>
      </c>
      <c r="E22" s="462">
        <f t="shared" ref="E22:E32" si="5">E4*$E$17</f>
        <v>1595.8178925462796</v>
      </c>
      <c r="F22" s="462">
        <f t="shared" ref="F22:F32" si="6">F4*$F$17</f>
        <v>4125.9007900382767</v>
      </c>
      <c r="G22" s="462">
        <f t="shared" ref="G22:G32" si="7">G4*$G$17</f>
        <v>0</v>
      </c>
      <c r="H22" s="462">
        <f t="shared" ref="H22:H32" si="8">H4*$H$17</f>
        <v>0</v>
      </c>
      <c r="I22" s="462">
        <f t="shared" ref="I22:I32" si="9">I4*$I$17</f>
        <v>0</v>
      </c>
      <c r="J22" s="462">
        <f t="shared" ref="J22:J32" si="10">J4*$J$17</f>
        <v>704.2484302877001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20088.795436719331</v>
      </c>
    </row>
    <row r="23" spans="1:17">
      <c r="A23" s="461" t="s">
        <v>156</v>
      </c>
      <c r="B23" s="462">
        <f t="shared" ca="1" si="2"/>
        <v>2548.0361722440757</v>
      </c>
      <c r="C23" s="462">
        <f t="shared" ca="1" si="3"/>
        <v>0</v>
      </c>
      <c r="D23" s="462">
        <f t="shared" ca="1" si="4"/>
        <v>3402.1790605329729</v>
      </c>
      <c r="E23" s="462">
        <f t="shared" si="5"/>
        <v>52.231630868001567</v>
      </c>
      <c r="F23" s="462">
        <f t="shared" ca="1" si="6"/>
        <v>684.38765441165083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6686.8345180567021</v>
      </c>
    </row>
    <row r="24" spans="1:17">
      <c r="A24" s="461" t="s">
        <v>194</v>
      </c>
      <c r="B24" s="462">
        <f t="shared" ca="1" si="2"/>
        <v>179.43548932258821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179.43548932258821</v>
      </c>
    </row>
    <row r="25" spans="1:17">
      <c r="A25" s="461" t="s">
        <v>112</v>
      </c>
      <c r="B25" s="462">
        <f t="shared" ca="1" si="2"/>
        <v>676.51987844304711</v>
      </c>
      <c r="C25" s="462">
        <f t="shared" ca="1" si="3"/>
        <v>0</v>
      </c>
      <c r="D25" s="462">
        <f t="shared" si="4"/>
        <v>561.16257645526832</v>
      </c>
      <c r="E25" s="462">
        <f t="shared" si="5"/>
        <v>9.3835725291887417</v>
      </c>
      <c r="F25" s="462">
        <f t="shared" si="6"/>
        <v>3021.9641107193534</v>
      </c>
      <c r="G25" s="462">
        <f t="shared" si="7"/>
        <v>0</v>
      </c>
      <c r="H25" s="462">
        <f t="shared" si="8"/>
        <v>0</v>
      </c>
      <c r="I25" s="462">
        <f t="shared" si="9"/>
        <v>0</v>
      </c>
      <c r="J25" s="462">
        <f t="shared" si="10"/>
        <v>174.64078850974303</v>
      </c>
      <c r="K25" s="462">
        <f t="shared" si="11"/>
        <v>0</v>
      </c>
      <c r="L25" s="462">
        <f t="shared" si="12"/>
        <v>0</v>
      </c>
      <c r="M25" s="462">
        <f t="shared" si="13"/>
        <v>0</v>
      </c>
      <c r="N25" s="462">
        <f t="shared" si="14"/>
        <v>0</v>
      </c>
      <c r="O25" s="462">
        <f t="shared" si="15"/>
        <v>0</v>
      </c>
      <c r="P25" s="463">
        <f t="shared" si="16"/>
        <v>0</v>
      </c>
      <c r="Q25" s="461">
        <f t="shared" ca="1" si="17"/>
        <v>4443.6709266566013</v>
      </c>
    </row>
    <row r="26" spans="1:17">
      <c r="A26" s="461" t="s">
        <v>657</v>
      </c>
      <c r="B26" s="462">
        <f t="shared" ca="1" si="2"/>
        <v>614.12791497182241</v>
      </c>
      <c r="C26" s="462">
        <f t="shared" ca="1" si="3"/>
        <v>0</v>
      </c>
      <c r="D26" s="462">
        <f t="shared" si="4"/>
        <v>388.19550970832273</v>
      </c>
      <c r="E26" s="462">
        <f t="shared" si="5"/>
        <v>97.901648350731151</v>
      </c>
      <c r="F26" s="462">
        <f t="shared" si="6"/>
        <v>422.52412450184352</v>
      </c>
      <c r="G26" s="462">
        <f t="shared" si="7"/>
        <v>0</v>
      </c>
      <c r="H26" s="462">
        <f t="shared" si="8"/>
        <v>0</v>
      </c>
      <c r="I26" s="462">
        <f t="shared" si="9"/>
        <v>0</v>
      </c>
      <c r="J26" s="462">
        <f t="shared" si="10"/>
        <v>1.1967148683925701</v>
      </c>
      <c r="K26" s="462">
        <f t="shared" si="11"/>
        <v>0</v>
      </c>
      <c r="L26" s="462">
        <f t="shared" si="12"/>
        <v>0</v>
      </c>
      <c r="M26" s="462">
        <f t="shared" si="13"/>
        <v>0</v>
      </c>
      <c r="N26" s="462">
        <f t="shared" si="14"/>
        <v>0</v>
      </c>
      <c r="O26" s="462">
        <f t="shared" si="15"/>
        <v>0</v>
      </c>
      <c r="P26" s="463">
        <f t="shared" si="16"/>
        <v>0</v>
      </c>
      <c r="Q26" s="461">
        <f t="shared" ca="1" si="17"/>
        <v>1523.9459124011123</v>
      </c>
    </row>
    <row r="27" spans="1:17" s="467" customFormat="1">
      <c r="A27" s="465" t="s">
        <v>574</v>
      </c>
      <c r="B27" s="775">
        <f t="shared" ca="1" si="2"/>
        <v>1.6953399742212405</v>
      </c>
      <c r="C27" s="466">
        <f t="shared" ca="1" si="3"/>
        <v>0</v>
      </c>
      <c r="D27" s="466">
        <f t="shared" si="4"/>
        <v>2.8463595765187439</v>
      </c>
      <c r="E27" s="466">
        <f t="shared" si="5"/>
        <v>97.317127261202842</v>
      </c>
      <c r="F27" s="466">
        <f t="shared" si="6"/>
        <v>0</v>
      </c>
      <c r="G27" s="466">
        <f t="shared" si="7"/>
        <v>31436.28070734303</v>
      </c>
      <c r="H27" s="466">
        <f t="shared" si="8"/>
        <v>5236.8098044768703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36774.949338631843</v>
      </c>
    </row>
    <row r="28" spans="1:17">
      <c r="A28" s="461" t="s">
        <v>564</v>
      </c>
      <c r="B28" s="462">
        <f t="shared" ca="1" si="2"/>
        <v>0</v>
      </c>
      <c r="C28" s="462">
        <f t="shared" ca="1" si="3"/>
        <v>0</v>
      </c>
      <c r="D28" s="462">
        <f t="shared" si="4"/>
        <v>0</v>
      </c>
      <c r="E28" s="462">
        <f t="shared" si="5"/>
        <v>0</v>
      </c>
      <c r="F28" s="462">
        <f t="shared" si="6"/>
        <v>0</v>
      </c>
      <c r="G28" s="462">
        <f t="shared" si="7"/>
        <v>375.32105872490638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375.32105872490638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178.42426740255874</v>
      </c>
      <c r="C32" s="462">
        <f t="shared" ca="1" si="3"/>
        <v>0</v>
      </c>
      <c r="D32" s="462">
        <f t="shared" si="4"/>
        <v>282.61111420015794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461.03538160271671</v>
      </c>
    </row>
    <row r="33" spans="1:17" s="474" customFormat="1">
      <c r="A33" s="471" t="s">
        <v>568</v>
      </c>
      <c r="B33" s="472">
        <f ca="1">SUM(B22:B32)</f>
        <v>8802.9898753147882</v>
      </c>
      <c r="C33" s="472">
        <f t="shared" ref="C33:Q33" ca="1" si="18">SUM(C22:C32)</f>
        <v>0</v>
      </c>
      <c r="D33" s="472">
        <f t="shared" ca="1" si="18"/>
        <v>13695.072131363837</v>
      </c>
      <c r="E33" s="472">
        <f t="shared" si="18"/>
        <v>1852.6518715554039</v>
      </c>
      <c r="F33" s="472">
        <f t="shared" ca="1" si="18"/>
        <v>8254.7766796711257</v>
      </c>
      <c r="G33" s="472">
        <f t="shared" si="18"/>
        <v>31811.601766067935</v>
      </c>
      <c r="H33" s="472">
        <f t="shared" si="18"/>
        <v>5236.8098044768703</v>
      </c>
      <c r="I33" s="472">
        <f t="shared" si="18"/>
        <v>0</v>
      </c>
      <c r="J33" s="472">
        <f t="shared" si="18"/>
        <v>880.08593366583568</v>
      </c>
      <c r="K33" s="472">
        <f t="shared" si="18"/>
        <v>0</v>
      </c>
      <c r="L33" s="472">
        <f t="shared" ca="1" si="18"/>
        <v>0</v>
      </c>
      <c r="M33" s="472">
        <f t="shared" si="18"/>
        <v>0</v>
      </c>
      <c r="N33" s="472">
        <f t="shared" ca="1" si="18"/>
        <v>0</v>
      </c>
      <c r="O33" s="472">
        <f t="shared" si="18"/>
        <v>0</v>
      </c>
      <c r="P33" s="472">
        <f t="shared" si="18"/>
        <v>0</v>
      </c>
      <c r="Q33" s="472">
        <f t="shared" ca="1" si="18"/>
        <v>70533.988062115794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2852.6401999999998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2852.6401999999998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0.20623062151475766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0.20623062151475766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0.20623062151475766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0.20623062151475766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4338</v>
      </c>
      <c r="C9" s="338">
        <v>4436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6691</v>
      </c>
    </row>
    <row r="15" spans="1:6">
      <c r="A15" s="1295" t="s">
        <v>184</v>
      </c>
      <c r="B15" s="335">
        <v>63</v>
      </c>
    </row>
    <row r="16" spans="1:6">
      <c r="A16" s="1295" t="s">
        <v>6</v>
      </c>
      <c r="B16" s="335">
        <v>2347</v>
      </c>
    </row>
    <row r="17" spans="1:6">
      <c r="A17" s="1295" t="s">
        <v>7</v>
      </c>
      <c r="B17" s="335">
        <v>2344</v>
      </c>
    </row>
    <row r="18" spans="1:6">
      <c r="A18" s="1295" t="s">
        <v>8</v>
      </c>
      <c r="B18" s="335">
        <v>3506</v>
      </c>
    </row>
    <row r="19" spans="1:6">
      <c r="A19" s="1295" t="s">
        <v>9</v>
      </c>
      <c r="B19" s="335">
        <v>3499</v>
      </c>
    </row>
    <row r="20" spans="1:6">
      <c r="A20" s="1295" t="s">
        <v>10</v>
      </c>
      <c r="B20" s="335">
        <v>2601</v>
      </c>
    </row>
    <row r="21" spans="1:6">
      <c r="A21" s="1295" t="s">
        <v>11</v>
      </c>
      <c r="B21" s="335">
        <v>7355</v>
      </c>
    </row>
    <row r="22" spans="1:6">
      <c r="A22" s="1295" t="s">
        <v>12</v>
      </c>
      <c r="B22" s="335">
        <v>18818</v>
      </c>
    </row>
    <row r="23" spans="1:6">
      <c r="A23" s="1295" t="s">
        <v>13</v>
      </c>
      <c r="B23" s="335">
        <v>293</v>
      </c>
    </row>
    <row r="24" spans="1:6">
      <c r="A24" s="1295" t="s">
        <v>14</v>
      </c>
      <c r="B24" s="335">
        <v>21</v>
      </c>
    </row>
    <row r="25" spans="1:6">
      <c r="A25" s="1295" t="s">
        <v>15</v>
      </c>
      <c r="B25" s="335">
        <v>2206</v>
      </c>
    </row>
    <row r="26" spans="1:6">
      <c r="A26" s="1295" t="s">
        <v>16</v>
      </c>
      <c r="B26" s="335">
        <v>578</v>
      </c>
    </row>
    <row r="27" spans="1:6">
      <c r="A27" s="1295" t="s">
        <v>17</v>
      </c>
      <c r="B27" s="335">
        <v>0</v>
      </c>
    </row>
    <row r="28" spans="1:6" s="341" customFormat="1">
      <c r="A28" s="1296" t="s">
        <v>18</v>
      </c>
      <c r="B28" s="1296">
        <v>119457</v>
      </c>
    </row>
    <row r="29" spans="1:6">
      <c r="A29" s="1296" t="s">
        <v>909</v>
      </c>
      <c r="B29" s="1296">
        <v>251</v>
      </c>
      <c r="C29" s="341"/>
      <c r="D29" s="341"/>
      <c r="E29" s="341"/>
      <c r="F29" s="341"/>
    </row>
    <row r="30" spans="1:6">
      <c r="A30" s="1291" t="s">
        <v>910</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16952.451729669199</v>
      </c>
    </row>
    <row r="37" spans="1:6">
      <c r="A37" s="1295" t="s">
        <v>25</v>
      </c>
      <c r="B37" s="1295" t="s">
        <v>28</v>
      </c>
      <c r="C37" s="335">
        <v>0</v>
      </c>
      <c r="D37" s="335">
        <v>0</v>
      </c>
      <c r="E37" s="335">
        <v>0</v>
      </c>
      <c r="F37" s="335">
        <v>0</v>
      </c>
    </row>
    <row r="38" spans="1:6">
      <c r="A38" s="1295" t="s">
        <v>25</v>
      </c>
      <c r="B38" s="1295" t="s">
        <v>29</v>
      </c>
      <c r="C38" s="335">
        <v>1</v>
      </c>
      <c r="D38" s="335">
        <v>20823.843017679999</v>
      </c>
      <c r="E38" s="335">
        <v>4</v>
      </c>
      <c r="F38" s="335">
        <v>120077.643622965</v>
      </c>
    </row>
    <row r="39" spans="1:6">
      <c r="A39" s="1295" t="s">
        <v>30</v>
      </c>
      <c r="B39" s="1295" t="s">
        <v>31</v>
      </c>
      <c r="C39" s="335">
        <v>2521</v>
      </c>
      <c r="D39" s="335">
        <v>49713933.343343697</v>
      </c>
      <c r="E39" s="335">
        <v>4073</v>
      </c>
      <c r="F39" s="335">
        <v>19981448.419017699</v>
      </c>
    </row>
    <row r="40" spans="1:6">
      <c r="A40" s="1295" t="s">
        <v>30</v>
      </c>
      <c r="B40" s="1295" t="s">
        <v>29</v>
      </c>
      <c r="C40" s="335">
        <v>0</v>
      </c>
      <c r="D40" s="335">
        <v>0</v>
      </c>
      <c r="E40" s="335">
        <v>0</v>
      </c>
      <c r="F40" s="335">
        <v>0</v>
      </c>
    </row>
    <row r="41" spans="1:6">
      <c r="A41" s="1295" t="s">
        <v>32</v>
      </c>
      <c r="B41" s="1295" t="s">
        <v>33</v>
      </c>
      <c r="C41" s="335">
        <v>48</v>
      </c>
      <c r="D41" s="335">
        <v>1279077.4338515201</v>
      </c>
      <c r="E41" s="335">
        <v>129</v>
      </c>
      <c r="F41" s="335">
        <v>1220234.2157746099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67278.070539111795</v>
      </c>
      <c r="E44" s="335">
        <v>16</v>
      </c>
      <c r="F44" s="335">
        <v>159012.92149415001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14</v>
      </c>
      <c r="D48" s="335">
        <v>552840.77796181105</v>
      </c>
      <c r="E48" s="335">
        <v>36</v>
      </c>
      <c r="F48" s="335">
        <v>1317498.51483321</v>
      </c>
    </row>
    <row r="49" spans="1:6">
      <c r="A49" s="1295" t="s">
        <v>32</v>
      </c>
      <c r="B49" s="1295" t="s">
        <v>40</v>
      </c>
      <c r="C49" s="335">
        <v>0</v>
      </c>
      <c r="D49" s="335">
        <v>0</v>
      </c>
      <c r="E49" s="335">
        <v>0</v>
      </c>
      <c r="F49" s="335">
        <v>0</v>
      </c>
    </row>
    <row r="50" spans="1:6">
      <c r="A50" s="1295" t="s">
        <v>32</v>
      </c>
      <c r="B50" s="1295" t="s">
        <v>41</v>
      </c>
      <c r="C50" s="335">
        <v>7</v>
      </c>
      <c r="D50" s="335">
        <v>231357.98488824701</v>
      </c>
      <c r="E50" s="335">
        <v>14</v>
      </c>
      <c r="F50" s="335">
        <v>281124.02826397901</v>
      </c>
    </row>
    <row r="51" spans="1:6">
      <c r="A51" s="1295" t="s">
        <v>42</v>
      </c>
      <c r="B51" s="1295" t="s">
        <v>43</v>
      </c>
      <c r="C51" s="335">
        <v>15</v>
      </c>
      <c r="D51" s="335">
        <v>215366.51621234501</v>
      </c>
      <c r="E51" s="335">
        <v>186</v>
      </c>
      <c r="F51" s="335">
        <v>3144202.4446741301</v>
      </c>
    </row>
    <row r="52" spans="1:6">
      <c r="A52" s="1295" t="s">
        <v>42</v>
      </c>
      <c r="B52" s="1295" t="s">
        <v>29</v>
      </c>
      <c r="C52" s="335">
        <v>6</v>
      </c>
      <c r="D52" s="335">
        <v>2864492.1941083302</v>
      </c>
      <c r="E52" s="335">
        <v>8</v>
      </c>
      <c r="F52" s="335">
        <v>136202.150308076</v>
      </c>
    </row>
    <row r="53" spans="1:6">
      <c r="A53" s="1295" t="s">
        <v>44</v>
      </c>
      <c r="B53" s="1295" t="s">
        <v>45</v>
      </c>
      <c r="C53" s="335">
        <v>75</v>
      </c>
      <c r="D53" s="335">
        <v>1399064.92178296</v>
      </c>
      <c r="E53" s="335">
        <v>163</v>
      </c>
      <c r="F53" s="335">
        <v>865168.64514123998</v>
      </c>
    </row>
    <row r="54" spans="1:6">
      <c r="A54" s="1295" t="s">
        <v>46</v>
      </c>
      <c r="B54" s="1295" t="s">
        <v>47</v>
      </c>
      <c r="C54" s="335">
        <v>0</v>
      </c>
      <c r="D54" s="335">
        <v>0</v>
      </c>
      <c r="E54" s="335">
        <v>1</v>
      </c>
      <c r="F54" s="335">
        <v>870072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825582.50982784701</v>
      </c>
      <c r="E57" s="335">
        <v>53</v>
      </c>
      <c r="F57" s="335">
        <v>874865.80281225999</v>
      </c>
    </row>
    <row r="58" spans="1:6">
      <c r="A58" s="1295" t="s">
        <v>49</v>
      </c>
      <c r="B58" s="1295" t="s">
        <v>51</v>
      </c>
      <c r="C58" s="335">
        <v>18</v>
      </c>
      <c r="D58" s="335">
        <v>637663.07552581595</v>
      </c>
      <c r="E58" s="335">
        <v>27</v>
      </c>
      <c r="F58" s="335">
        <v>237318.720350833</v>
      </c>
    </row>
    <row r="59" spans="1:6">
      <c r="A59" s="1295" t="s">
        <v>49</v>
      </c>
      <c r="B59" s="1295" t="s">
        <v>52</v>
      </c>
      <c r="C59" s="335">
        <v>53</v>
      </c>
      <c r="D59" s="335">
        <v>2098508.6337913801</v>
      </c>
      <c r="E59" s="335">
        <v>124</v>
      </c>
      <c r="F59" s="335">
        <v>2481664.9174851598</v>
      </c>
    </row>
    <row r="60" spans="1:6">
      <c r="A60" s="1295" t="s">
        <v>49</v>
      </c>
      <c r="B60" s="1295" t="s">
        <v>53</v>
      </c>
      <c r="C60" s="335">
        <v>71</v>
      </c>
      <c r="D60" s="335">
        <v>3950641.5139135802</v>
      </c>
      <c r="E60" s="335">
        <v>96</v>
      </c>
      <c r="F60" s="335">
        <v>2474073.72129058</v>
      </c>
    </row>
    <row r="61" spans="1:6">
      <c r="A61" s="1295" t="s">
        <v>49</v>
      </c>
      <c r="B61" s="1295" t="s">
        <v>54</v>
      </c>
      <c r="C61" s="335">
        <v>94</v>
      </c>
      <c r="D61" s="335">
        <v>6806066.3876955099</v>
      </c>
      <c r="E61" s="335">
        <v>211</v>
      </c>
      <c r="F61" s="335">
        <v>3003435.8555402202</v>
      </c>
    </row>
    <row r="62" spans="1:6">
      <c r="A62" s="1295" t="s">
        <v>49</v>
      </c>
      <c r="B62" s="1295" t="s">
        <v>55</v>
      </c>
      <c r="C62" s="335">
        <v>7</v>
      </c>
      <c r="D62" s="335">
        <v>311541.02528419998</v>
      </c>
      <c r="E62" s="335">
        <v>12</v>
      </c>
      <c r="F62" s="335">
        <v>72961.708514798898</v>
      </c>
    </row>
    <row r="63" spans="1:6">
      <c r="A63" s="1295" t="s">
        <v>49</v>
      </c>
      <c r="B63" s="1295" t="s">
        <v>29</v>
      </c>
      <c r="C63" s="335">
        <v>71</v>
      </c>
      <c r="D63" s="335">
        <v>4042358.9345579902</v>
      </c>
      <c r="E63" s="335">
        <v>92</v>
      </c>
      <c r="F63" s="335">
        <v>3210954.9044087902</v>
      </c>
    </row>
    <row r="64" spans="1:6">
      <c r="A64" s="1295" t="s">
        <v>56</v>
      </c>
      <c r="B64" s="1295" t="s">
        <v>57</v>
      </c>
      <c r="C64" s="335">
        <v>0</v>
      </c>
      <c r="D64" s="335">
        <v>0</v>
      </c>
      <c r="E64" s="335">
        <v>0</v>
      </c>
      <c r="F64" s="335">
        <v>0</v>
      </c>
    </row>
    <row r="65" spans="1:6">
      <c r="A65" s="1295" t="s">
        <v>56</v>
      </c>
      <c r="B65" s="1295" t="s">
        <v>29</v>
      </c>
      <c r="C65" s="335">
        <v>0</v>
      </c>
      <c r="D65" s="335">
        <v>0</v>
      </c>
      <c r="E65" s="335">
        <v>4</v>
      </c>
      <c r="F65" s="335">
        <v>44247.489289964004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82064.618189456203</v>
      </c>
      <c r="E68" s="335">
        <v>3</v>
      </c>
      <c r="F68" s="335">
        <v>16293.336139977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110027991</v>
      </c>
      <c r="E73" s="335">
        <v>94593874.976014867</v>
      </c>
    </row>
    <row r="74" spans="1:6">
      <c r="A74" s="1295" t="s">
        <v>64</v>
      </c>
      <c r="B74" s="1295" t="s">
        <v>727</v>
      </c>
      <c r="C74" s="1295" t="s">
        <v>728</v>
      </c>
      <c r="D74" s="335">
        <v>12400029.998295907</v>
      </c>
      <c r="E74" s="335">
        <v>11351734.373612968</v>
      </c>
    </row>
    <row r="75" spans="1:6">
      <c r="A75" s="1295" t="s">
        <v>65</v>
      </c>
      <c r="B75" s="1295" t="s">
        <v>725</v>
      </c>
      <c r="C75" s="1295" t="s">
        <v>729</v>
      </c>
      <c r="D75" s="335">
        <v>40521615</v>
      </c>
      <c r="E75" s="335">
        <v>39176337.357168257</v>
      </c>
    </row>
    <row r="76" spans="1:6">
      <c r="A76" s="1295" t="s">
        <v>65</v>
      </c>
      <c r="B76" s="1295" t="s">
        <v>727</v>
      </c>
      <c r="C76" s="1295" t="s">
        <v>730</v>
      </c>
      <c r="D76" s="335">
        <v>2936775.9982959069</v>
      </c>
      <c r="E76" s="335">
        <v>2926999.2809962472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387884.00340818608</v>
      </c>
      <c r="C83" s="335">
        <v>390198.12466247933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2346.7139999999999</v>
      </c>
    </row>
    <row r="92" spans="1:6">
      <c r="A92" s="1291" t="s">
        <v>69</v>
      </c>
      <c r="B92" s="338">
        <v>505.92619999999999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1630</v>
      </c>
    </row>
    <row r="98" spans="1:6">
      <c r="A98" s="1295" t="s">
        <v>72</v>
      </c>
      <c r="B98" s="335">
        <v>0</v>
      </c>
    </row>
    <row r="99" spans="1:6">
      <c r="A99" s="1295" t="s">
        <v>73</v>
      </c>
      <c r="B99" s="335">
        <v>226</v>
      </c>
    </row>
    <row r="100" spans="1:6">
      <c r="A100" s="1295" t="s">
        <v>74</v>
      </c>
      <c r="B100" s="335">
        <v>396</v>
      </c>
    </row>
    <row r="101" spans="1:6">
      <c r="A101" s="1295" t="s">
        <v>75</v>
      </c>
      <c r="B101" s="335">
        <v>141</v>
      </c>
    </row>
    <row r="102" spans="1:6">
      <c r="A102" s="1295" t="s">
        <v>76</v>
      </c>
      <c r="B102" s="335">
        <v>107</v>
      </c>
    </row>
    <row r="103" spans="1:6">
      <c r="A103" s="1295" t="s">
        <v>77</v>
      </c>
      <c r="B103" s="335">
        <v>138</v>
      </c>
    </row>
    <row r="104" spans="1:6">
      <c r="A104" s="1295" t="s">
        <v>78</v>
      </c>
      <c r="B104" s="335">
        <v>1413</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83</v>
      </c>
    </row>
    <row r="130" spans="1:6">
      <c r="A130" s="1295" t="s">
        <v>295</v>
      </c>
      <c r="B130" s="335">
        <v>3</v>
      </c>
    </row>
    <row r="131" spans="1:6">
      <c r="A131" s="1295" t="s">
        <v>296</v>
      </c>
      <c r="B131" s="335">
        <v>1</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42685.173572465108</v>
      </c>
      <c r="C3" s="43" t="s">
        <v>170</v>
      </c>
      <c r="D3" s="43"/>
      <c r="E3" s="156"/>
      <c r="F3" s="43"/>
      <c r="G3" s="43"/>
      <c r="H3" s="43"/>
      <c r="I3" s="43"/>
      <c r="J3" s="43"/>
      <c r="K3" s="96"/>
    </row>
    <row r="4" spans="1:11">
      <c r="A4" s="366" t="s">
        <v>171</v>
      </c>
      <c r="B4" s="49">
        <f>IF(ISERROR('SEAP template'!B78+'SEAP template'!C78),0,'SEAP template'!B78+'SEAP template'!C78)</f>
        <v>2852.6401999999998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0.20623062151475766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0.20623062151475766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179.43548932258821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B46*B57</f>
        <v>7030.0347689263417</v>
      </c>
      <c r="F5" s="17">
        <f>B51*B62</f>
        <v>15452.811947708902</v>
      </c>
      <c r="G5" s="18"/>
      <c r="H5" s="17"/>
      <c r="I5" s="17"/>
      <c r="J5" s="17">
        <f>B50*B61+C50*C61</f>
        <v>1989.4023454454805</v>
      </c>
      <c r="K5" s="17"/>
      <c r="L5" s="17"/>
      <c r="M5" s="17"/>
      <c r="N5" s="17">
        <f>B48*B59+C48*C59</f>
        <v>16442.777251418018</v>
      </c>
      <c r="O5" s="17">
        <f>B69*B70*B71</f>
        <v>140.70000000000002</v>
      </c>
      <c r="P5" s="17">
        <f>B77*B78*B79/1000-B77*B78*B79/1000/B80</f>
        <v>343.2</v>
      </c>
    </row>
    <row r="6" spans="1:16">
      <c r="A6" s="16" t="s">
        <v>634</v>
      </c>
      <c r="B6" s="783">
        <f>kWh_PV_kleiner_dan_10kW</f>
        <v>2346.7139999999999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22328.162419017699</v>
      </c>
      <c r="C8" s="21">
        <f>C5</f>
        <v>0</v>
      </c>
      <c r="D8" s="21">
        <f>D5</f>
        <v>44841.96787569602</v>
      </c>
      <c r="E8" s="21">
        <f>E5</f>
        <v>7030.0347689263417</v>
      </c>
      <c r="F8" s="21">
        <f>F5</f>
        <v>15452.811947708902</v>
      </c>
      <c r="G8" s="21"/>
      <c r="H8" s="21"/>
      <c r="I8" s="21"/>
      <c r="J8" s="21">
        <f>J5</f>
        <v>1989.4023454454805</v>
      </c>
      <c r="K8" s="21"/>
      <c r="L8" s="21">
        <f>L5</f>
        <v>0</v>
      </c>
      <c r="M8" s="21">
        <f>M5</f>
        <v>0</v>
      </c>
      <c r="N8" s="21">
        <f>N5</f>
        <v>16442.777251418018</v>
      </c>
      <c r="O8" s="21">
        <f>O5</f>
        <v>140.70000000000002</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0.20623062151475766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4604.7508129564749</v>
      </c>
      <c r="C12" s="23">
        <f ca="1">C10*C8</f>
        <v>0</v>
      </c>
      <c r="D12" s="23">
        <f>D8*D10</f>
        <v>9058.0775108905964</v>
      </c>
      <c r="E12" s="23">
        <f>E10*E8</f>
        <v>1595.8178925462796</v>
      </c>
      <c r="F12" s="23">
        <f>F10*F8</f>
        <v>4125.9007900382767</v>
      </c>
      <c r="G12" s="23"/>
      <c r="H12" s="23"/>
      <c r="I12" s="23"/>
      <c r="J12" s="23">
        <f>J10*J8</f>
        <v>704.2484302877001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1630</v>
      </c>
      <c r="C18" s="168" t="s">
        <v>111</v>
      </c>
      <c r="D18" s="230"/>
      <c r="E18" s="15"/>
    </row>
    <row r="19" spans="1:7">
      <c r="A19" s="173" t="s">
        <v>72</v>
      </c>
      <c r="B19" s="37">
        <f>aantalw2001_ander</f>
        <v>0</v>
      </c>
      <c r="C19" s="168" t="s">
        <v>111</v>
      </c>
      <c r="D19" s="231"/>
      <c r="E19" s="15"/>
    </row>
    <row r="20" spans="1:7">
      <c r="A20" s="173" t="s">
        <v>73</v>
      </c>
      <c r="B20" s="37">
        <f>aantalw2001_propaan</f>
        <v>226</v>
      </c>
      <c r="C20" s="169">
        <f>IF(ISERROR(B20/SUM($B$20,$B$21,$B$22)*100),0,B20/SUM($B$20,$B$21,$B$22)*100)</f>
        <v>29.619921363040628</v>
      </c>
      <c r="D20" s="231"/>
      <c r="E20" s="15"/>
    </row>
    <row r="21" spans="1:7">
      <c r="A21" s="173" t="s">
        <v>74</v>
      </c>
      <c r="B21" s="37">
        <f>aantalw2001_elektriciteit</f>
        <v>396</v>
      </c>
      <c r="C21" s="169">
        <f>IF(ISERROR(B21/SUM($B$20,$B$21,$B$22)*100),0,B21/SUM($B$20,$B$21,$B$22)*100)</f>
        <v>51.900393184796854</v>
      </c>
      <c r="D21" s="231"/>
      <c r="E21" s="15"/>
    </row>
    <row r="22" spans="1:7">
      <c r="A22" s="173" t="s">
        <v>75</v>
      </c>
      <c r="B22" s="37">
        <f>aantalw2001_hout</f>
        <v>141</v>
      </c>
      <c r="C22" s="169">
        <f>IF(ISERROR(B22/SUM($B$20,$B$21,$B$22)*100),0,B22/SUM($B$20,$B$21,$B$22)*100)</f>
        <v>18.479685452162517</v>
      </c>
      <c r="D22" s="231"/>
      <c r="E22" s="15"/>
    </row>
    <row r="23" spans="1:7">
      <c r="A23" s="173" t="s">
        <v>76</v>
      </c>
      <c r="B23" s="37">
        <f>aantalw2001_niet_gespec</f>
        <v>107</v>
      </c>
      <c r="C23" s="168" t="s">
        <v>111</v>
      </c>
      <c r="D23" s="230"/>
      <c r="E23" s="15"/>
    </row>
    <row r="24" spans="1:7">
      <c r="A24" s="173" t="s">
        <v>77</v>
      </c>
      <c r="B24" s="37">
        <f>aantalw2001_steenkool</f>
        <v>138</v>
      </c>
      <c r="C24" s="168" t="s">
        <v>111</v>
      </c>
      <c r="D24" s="231"/>
      <c r="E24" s="15"/>
    </row>
    <row r="25" spans="1:7">
      <c r="A25" s="173" t="s">
        <v>78</v>
      </c>
      <c r="B25" s="37">
        <f>aantalw2001_stookolie</f>
        <v>1413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4338</v>
      </c>
      <c r="C28" s="36"/>
      <c r="D28" s="230"/>
    </row>
    <row r="29" spans="1:7" s="15" customFormat="1">
      <c r="A29" s="232" t="s">
        <v>746</v>
      </c>
      <c r="B29" s="37">
        <f>SUM(HH_hh_gas_aantal,HH_rest_gas_aantal)</f>
        <v>2521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2521</v>
      </c>
      <c r="C32" s="169">
        <f>IF(ISERROR(B32/SUM($B$32,$B$34,$B$35,$B$36,$B$38,$B$39)*100),0,B32/SUM($B$32,$B$34,$B$35,$B$36,$B$38,$B$39)*100)</f>
        <v>58.356481481481481</v>
      </c>
      <c r="D32" s="235"/>
      <c r="G32" s="15"/>
    </row>
    <row r="33" spans="1:7">
      <c r="A33" s="173" t="s">
        <v>72</v>
      </c>
      <c r="B33" s="34" t="s">
        <v>111</v>
      </c>
      <c r="C33" s="169"/>
      <c r="D33" s="235"/>
      <c r="G33" s="15"/>
    </row>
    <row r="34" spans="1:7">
      <c r="A34" s="173" t="s">
        <v>73</v>
      </c>
      <c r="B34" s="33">
        <f>IF((($B$28-$B$32-$B$39-$B$77-$B$38)*C20/100)&lt;0,0,($B$28-$B$32-$B$39-$B$77-$B$38)*C20/100)</f>
        <v>337.37090432503277</v>
      </c>
      <c r="C34" s="169">
        <f>IF(ISERROR(B34/SUM($B$32,$B$34,$B$35,$B$36,$B$38,$B$39)*100),0,B34/SUM($B$32,$B$34,$B$35,$B$36,$B$38,$B$39)*100)</f>
        <v>7.8095116741905741</v>
      </c>
      <c r="D34" s="235"/>
      <c r="G34" s="15"/>
    </row>
    <row r="35" spans="1:7">
      <c r="A35" s="173" t="s">
        <v>74</v>
      </c>
      <c r="B35" s="33">
        <f>IF((($B$28-$B$32-$B$39-$B$77-$B$38)*C21/100)&lt;0,0,($B$28-$B$32-$B$39-$B$77-$B$38)*C21/100)</f>
        <v>591.14547837483622</v>
      </c>
      <c r="C35" s="169">
        <f>IF(ISERROR(B35/SUM($B$32,$B$34,$B$35,$B$36,$B$38,$B$39)*100),0,B35/SUM($B$32,$B$34,$B$35,$B$36,$B$38,$B$39)*100)</f>
        <v>13.683923110528617</v>
      </c>
      <c r="D35" s="235"/>
      <c r="G35" s="15"/>
    </row>
    <row r="36" spans="1:7">
      <c r="A36" s="173" t="s">
        <v>75</v>
      </c>
      <c r="B36" s="33">
        <f>IF((($B$28-$B$32-$B$39-$B$77-$B$38)*C22/100)&lt;0,0,($B$28-$B$32-$B$39-$B$77-$B$38)*C22/100)</f>
        <v>210.48361730013107</v>
      </c>
      <c r="C36" s="169">
        <f>IF(ISERROR(B36/SUM($B$32,$B$34,$B$35,$B$36,$B$38,$B$39)*100),0,B36/SUM($B$32,$B$34,$B$35,$B$36,$B$38,$B$39)*100)</f>
        <v>4.8723059560215525</v>
      </c>
      <c r="D36" s="235"/>
      <c r="G36" s="15"/>
    </row>
    <row r="37" spans="1:7">
      <c r="A37" s="173" t="s">
        <v>76</v>
      </c>
      <c r="B37" s="34" t="s">
        <v>111</v>
      </c>
      <c r="C37" s="169"/>
      <c r="D37" s="175"/>
      <c r="G37" s="15"/>
    </row>
    <row r="38" spans="1:7">
      <c r="A38" s="173" t="s">
        <v>77</v>
      </c>
      <c r="B38" s="33">
        <f>IF((B24-(B29-B18)*0.1)&lt;0,0,B24-(B29-B18)*0.1)</f>
        <v>48.899999999999991</v>
      </c>
      <c r="C38" s="169">
        <f>IF(ISERROR(B38/SUM($B$32,$B$34,$B$35,$B$36,$B$38,$B$39)*100),0,B38/SUM($B$32,$B$34,$B$35,$B$36,$B$38,$B$39)*100)</f>
        <v>1.1319444444444442</v>
      </c>
      <c r="D38" s="236"/>
      <c r="G38" s="15"/>
    </row>
    <row r="39" spans="1:7">
      <c r="A39" s="173" t="s">
        <v>78</v>
      </c>
      <c r="B39" s="33">
        <f>IF((B25-(B29-B18))&lt;0,0,B25-(B29-B18)*0.9)</f>
        <v>611.1</v>
      </c>
      <c r="C39" s="169">
        <f>IF(ISERROR(B39/SUM($B$32,$B$34,$B$35,$B$36,$B$38,$B$39)*100),0,B39/SUM($B$32,$B$34,$B$35,$B$36,$B$38,$B$39)*100)</f>
        <v>14.145833333333332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2521</v>
      </c>
      <c r="C44" s="34" t="s">
        <v>111</v>
      </c>
      <c r="D44" s="176"/>
    </row>
    <row r="45" spans="1:7">
      <c r="A45" s="173" t="s">
        <v>72</v>
      </c>
      <c r="B45" s="33" t="str">
        <f t="shared" si="0"/>
        <v>-</v>
      </c>
      <c r="C45" s="34" t="s">
        <v>111</v>
      </c>
      <c r="D45" s="176"/>
    </row>
    <row r="46" spans="1:7">
      <c r="A46" s="173" t="s">
        <v>73</v>
      </c>
      <c r="B46" s="33">
        <f t="shared" si="0"/>
        <v>337.37090432503277</v>
      </c>
      <c r="C46" s="34" t="s">
        <v>111</v>
      </c>
      <c r="D46" s="176"/>
    </row>
    <row r="47" spans="1:7">
      <c r="A47" s="173" t="s">
        <v>74</v>
      </c>
      <c r="B47" s="33">
        <f t="shared" si="0"/>
        <v>591.14547837483622</v>
      </c>
      <c r="C47" s="34" t="s">
        <v>111</v>
      </c>
      <c r="D47" s="176"/>
    </row>
    <row r="48" spans="1:7">
      <c r="A48" s="173" t="s">
        <v>75</v>
      </c>
      <c r="B48" s="33">
        <f t="shared" si="0"/>
        <v>210.48361730013107</v>
      </c>
      <c r="C48" s="33">
        <f>B48*10</f>
        <v>2104.8361730013107</v>
      </c>
      <c r="D48" s="236"/>
    </row>
    <row r="49" spans="1:6">
      <c r="A49" s="173" t="s">
        <v>76</v>
      </c>
      <c r="B49" s="33" t="str">
        <f t="shared" si="0"/>
        <v>-</v>
      </c>
      <c r="C49" s="34" t="s">
        <v>111</v>
      </c>
      <c r="D49" s="236"/>
    </row>
    <row r="50" spans="1:6">
      <c r="A50" s="173" t="s">
        <v>77</v>
      </c>
      <c r="B50" s="33">
        <f t="shared" si="0"/>
        <v>48.899999999999991</v>
      </c>
      <c r="C50" s="33">
        <f>B50*2</f>
        <v>97.799999999999983</v>
      </c>
      <c r="D50" s="236"/>
    </row>
    <row r="51" spans="1:6">
      <c r="A51" s="173" t="s">
        <v>78</v>
      </c>
      <c r="B51" s="33">
        <f t="shared" si="0"/>
        <v>611.1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54</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53</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52</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51</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50</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55</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0.20623062151475766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2548.0361722440757</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3003.43585554022</v>
      </c>
      <c r="C26" s="39">
        <f>IF(ISERROR(B26*3.6/1000000/'E Balans VL '!Z12*100),0,B26*3.6/1000000/'E Balans VL '!Z12*100)</f>
        <v>6.3794465280397616E-2</v>
      </c>
      <c r="D26" s="239" t="s">
        <v>692</v>
      </c>
      <c r="F26" s="6"/>
    </row>
    <row r="27" spans="1:18">
      <c r="A27" s="233" t="s">
        <v>53</v>
      </c>
      <c r="B27" s="33">
        <f>IF(ISERROR(TER_horeca_ele_kWh/1000),0,TER_horeca_ele_kWh/1000)</f>
        <v>2474.0737212905801</v>
      </c>
      <c r="C27" s="39">
        <f>IF(ISERROR(B27*3.6/1000000/'E Balans VL '!Z9*100),0,B27*3.6/1000000/'E Balans VL '!Z9*100)</f>
        <v>0.19237429913301482</v>
      </c>
      <c r="D27" s="239" t="s">
        <v>692</v>
      </c>
      <c r="F27" s="6"/>
    </row>
    <row r="28" spans="1:18">
      <c r="A28" s="173" t="s">
        <v>52</v>
      </c>
      <c r="B28" s="33">
        <f>IF(ISERROR(TER_handel_ele_kWh/1000),0,TER_handel_ele_kWh/1000)</f>
        <v>2481.66491748516</v>
      </c>
      <c r="C28" s="39">
        <f>IF(ISERROR(B28*3.6/1000000/'E Balans VL '!Z13*100),0,B28*3.6/1000000/'E Balans VL '!Z13*100)</f>
        <v>7.1003353916693115E-2</v>
      </c>
      <c r="D28" s="239" t="s">
        <v>692</v>
      </c>
      <c r="F28" s="6"/>
    </row>
    <row r="29" spans="1:18">
      <c r="A29" s="233" t="s">
        <v>51</v>
      </c>
      <c r="B29" s="33">
        <f>IF(ISERROR(TER_gezond_ele_kWh/1000),0,TER_gezond_ele_kWh/1000)</f>
        <v>237.31872035083299</v>
      </c>
      <c r="C29" s="39">
        <f>IF(ISERROR(B29*3.6/1000000/'E Balans VL '!Z10*100),0,B29*3.6/1000000/'E Balans VL '!Z10*100)</f>
        <v>2.5873255143922622E-2</v>
      </c>
      <c r="D29" s="239" t="s">
        <v>692</v>
      </c>
      <c r="F29" s="6"/>
    </row>
    <row r="30" spans="1:18">
      <c r="A30" s="233" t="s">
        <v>50</v>
      </c>
      <c r="B30" s="33">
        <f>IF(ISERROR(TER_ander_ele_kWh/1000),0,TER_ander_ele_kWh/1000)</f>
        <v>874.86580281225997</v>
      </c>
      <c r="C30" s="39">
        <f>IF(ISERROR(B30*3.6/1000000/'E Balans VL '!Z14*100),0,B30*3.6/1000000/'E Balans VL '!Z14*100)</f>
        <v>6.4020694863773001E-2</v>
      </c>
      <c r="D30" s="239" t="s">
        <v>692</v>
      </c>
      <c r="F30" s="6"/>
    </row>
    <row r="31" spans="1:18">
      <c r="A31" s="233" t="s">
        <v>55</v>
      </c>
      <c r="B31" s="33">
        <f>IF(ISERROR(TER_onderwijs_ele_kWh/1000),0,TER_onderwijs_ele_kWh/1000)</f>
        <v>72.9617085147989</v>
      </c>
      <c r="C31" s="39">
        <f>IF(ISERROR(B31*3.6/1000000/'E Balans VL '!Z11*100),0,B31*3.6/1000000/'E Balans VL '!Z11*100)</f>
        <v>1.46544133350681E-2</v>
      </c>
      <c r="D31" s="239" t="s">
        <v>692</v>
      </c>
    </row>
    <row r="32" spans="1:18">
      <c r="A32" s="233" t="s">
        <v>260</v>
      </c>
      <c r="B32" s="33">
        <f>IF(ISERROR(TER_rest_ele_kWh/1000),0,TER_rest_ele_kWh/1000)</f>
        <v>3210.9549044087903</v>
      </c>
      <c r="C32" s="39">
        <f>IF(ISERROR(B32*3.6/1000000/'E Balans VL '!Z8*100),0,B32*3.6/1000000/'E Balans VL '!Z8*100)</f>
        <v>2.6167333841408447E-2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743.85125030410143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33</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398.38620162476599</v>
      </c>
      <c r="O9" s="33"/>
      <c r="P9" s="33"/>
      <c r="R9" s="32"/>
    </row>
    <row r="10" spans="1:18">
      <c r="A10" s="6" t="s">
        <v>41</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258.56320356277899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743.85125030410143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0.20623062151475766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614.12791497182241</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159.01292149415002</v>
      </c>
      <c r="C30" s="39">
        <f>IF(ISERROR(B30*3.6/1000000/'E Balans VL '!Z18*100),0,B30*3.6/1000000/'E Balans VL '!Z18*100)</f>
        <v>1.5646465558276094E-2</v>
      </c>
      <c r="D30" s="239" t="s">
        <v>692</v>
      </c>
    </row>
    <row r="31" spans="1:18">
      <c r="A31" s="6" t="s">
        <v>33</v>
      </c>
      <c r="B31" s="37">
        <f>IF( ISERROR(IND_ander_ele_kWh/1000),0,IND_ander_ele_kWh/1000)</f>
        <v>1220.23421577461</v>
      </c>
      <c r="C31" s="39">
        <f>IF(ISERROR(B31*3.6/1000000/'E Balans VL '!Z19*100),0,B31*3.6/1000000/'E Balans VL '!Z19*100)</f>
        <v>5.3140226725738676E-2</v>
      </c>
      <c r="D31" s="239" t="s">
        <v>692</v>
      </c>
    </row>
    <row r="32" spans="1:18">
      <c r="A32" s="173" t="s">
        <v>41</v>
      </c>
      <c r="B32" s="37">
        <f>IF( ISERROR(IND_voed_ele_kWh/1000),0,IND_voed_ele_kWh/1000)</f>
        <v>281.12402826397903</v>
      </c>
      <c r="C32" s="39">
        <f>IF(ISERROR(B32*3.6/1000000/'E Balans VL '!Z20*100),0,B32*3.6/1000000/'E Balans VL '!Z20*100)</f>
        <v>5.3339230113552814E-2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1317.49851483321</v>
      </c>
      <c r="C37" s="39">
        <f>IF(ISERROR(B37*3.6/1000000/'E Balans VL '!Z15*100),0,B37*3.6/1000000/'E Balans VL '!Z15*100)</f>
        <v>1.0152944278527793E-2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3280.4045949822057</v>
      </c>
      <c r="C5" s="17">
        <f>'Eigen informatie GS &amp; warmtenet'!B60</f>
        <v>0</v>
      </c>
      <c r="D5" s="30">
        <f>IF(ISERROR(SUM(LB_lb_gas_kWh,LB_rest_gas_kWh)/1000),0,SUM(LB_lb_gas_kWh,LB_rest_gas_kWh)/1000)*0.902</f>
        <v>2778.0325567092491</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3280.4045949822057</v>
      </c>
      <c r="C8" s="21">
        <f>C5+C6</f>
        <v>0</v>
      </c>
      <c r="D8" s="21">
        <f>MAX((D5+D6),0)</f>
        <v>2778.0325567092491</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0.20623062151475766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676.51987844304711</v>
      </c>
      <c r="C12" s="23">
        <f ca="1">C8*C10</f>
        <v>0</v>
      </c>
      <c r="D12" s="23">
        <f>D8*D10</f>
        <v>561.16257645526832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0.45751304864872733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1007.9882067359692</v>
      </c>
      <c r="C26" s="249">
        <f>B26*'GWP N2O_CH4'!B5</f>
        <v>21167.752341455354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275.12623411325603</v>
      </c>
      <c r="C27" s="249">
        <f>B27*'GWP N2O_CH4'!B5</f>
        <v>5777.6509163783767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9">
        <f>B28*'GWP N2O_CH4'!B4</f>
        <v>4413.4513206820857</v>
      </c>
      <c r="D28" s="50"/>
    </row>
    <row r="29" spans="1:4">
      <c r="A29" s="41" t="s">
        <v>277</v>
      </c>
      <c r="B29" s="249">
        <f>B34*'ha_N2O bodem landbouw'!B4</f>
        <v>39.855772225644763</v>
      </c>
      <c r="C29" s="249">
        <f>B29*'GWP N2O_CH4'!B4</f>
        <v>12355.289389949876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9.9515880747521775E-3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2.9594169199357841E-5</v>
      </c>
      <c r="C5" s="448" t="s">
        <v>211</v>
      </c>
      <c r="D5" s="433">
        <f>SUM(D6:D11)</f>
        <v>5.0727200373601375E-5</v>
      </c>
      <c r="E5" s="433">
        <f>SUM(E6:E11)</f>
        <v>1.5433553222040978E-3</v>
      </c>
      <c r="F5" s="446" t="s">
        <v>211</v>
      </c>
      <c r="G5" s="433">
        <f>SUM(G6:G11)</f>
        <v>0.42385996459338915</v>
      </c>
      <c r="H5" s="433">
        <f>SUM(H6:H11)</f>
        <v>7.5712912835810164E-2</v>
      </c>
      <c r="I5" s="448" t="s">
        <v>211</v>
      </c>
      <c r="J5" s="448" t="s">
        <v>211</v>
      </c>
      <c r="K5" s="448" t="s">
        <v>211</v>
      </c>
      <c r="L5" s="448" t="s">
        <v>211</v>
      </c>
      <c r="M5" s="433">
        <f>SUM(M6:M11)</f>
        <v>2.2583534763567659E-2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2.1628664922041855E-5</v>
      </c>
      <c r="C6" s="887"/>
      <c r="D6" s="887">
        <f>vkm_2011_GW_PW*SUMIFS(TableVerdeelsleutelVkm[CNG],TableVerdeelsleutelVkm[Voertuigtype],"Lichte voertuigen")*SUMIFS(TableECFTransport[EnergieConsumptieFactor (PJ per km)],TableECFTransport[Index],CONCATENATE($A6,"_CNG_CNG"))</f>
        <v>3.0630419677186371E-5</v>
      </c>
      <c r="E6" s="887">
        <f>vkm_2011_GW_PW*SUMIFS(TableVerdeelsleutelVkm[LPG],TableVerdeelsleutelVkm[Voertuigtype],"Lichte voertuigen")*SUMIFS(TableECFTransport[EnergieConsumptieFactor (PJ per km)],TableECFTransport[Index],CONCATENATE($A6,"_LPG_LPG"))</f>
        <v>9.6200064405670236E-4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0.17289785727637028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4.6329372097536813E-2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9.9185403480833018E-3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0.11705316292215065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4.1587775323900927E-5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5.2822387949673349E-3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7.9655042773159877E-6</v>
      </c>
      <c r="C8" s="887"/>
      <c r="D8" s="436">
        <f>vkm_2011_NGW_PW*SUMIFS(TableVerdeelsleutelVkm[CNG],TableVerdeelsleutelVkm[Voertuigtype],"Lichte voertuigen")*SUMIFS(TableECFTransport[EnergieConsumptieFactor (PJ per km)],TableECFTransport[Index],CONCATENATE($A8,"_CNG_CNG"))</f>
        <v>2.0096780696415005E-5</v>
      </c>
      <c r="E8" s="436">
        <f>vkm_2011_NGW_PW*SUMIFS(TableVerdeelsleutelVkm[LPG],TableVerdeelsleutelVkm[Voertuigtype],"Lichte voertuigen")*SUMIFS(TableECFTransport[EnergieConsumptieFactor (PJ per km)],TableECFTransport[Index],CONCATENATE($A8,"_LPG_LPG"))</f>
        <v>5.8135467814739541E-4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9.8545255340319091E-2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2.9330063429839313E-2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5.7869351167721805E-3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3.5363689054549126E-2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1.1889533110136539E-5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1.5958205037448438E-3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8.2206025553771784</v>
      </c>
      <c r="C14" s="21"/>
      <c r="D14" s="21">
        <f t="shared" ref="D14:M14" si="0">((D5)*10^9/3600)+D12</f>
        <v>14.090888992667049</v>
      </c>
      <c r="E14" s="21">
        <f t="shared" si="0"/>
        <v>428.70981172336053</v>
      </c>
      <c r="F14" s="21"/>
      <c r="G14" s="21">
        <f t="shared" si="0"/>
        <v>117738.87905371921</v>
      </c>
      <c r="H14" s="21">
        <f t="shared" si="0"/>
        <v>21031.364676613935</v>
      </c>
      <c r="I14" s="21"/>
      <c r="J14" s="21"/>
      <c r="K14" s="21"/>
      <c r="L14" s="21"/>
      <c r="M14" s="21">
        <f t="shared" si="0"/>
        <v>6273.2041009910163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0.20623062151475766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1.6953399742212405</v>
      </c>
      <c r="C18" s="23"/>
      <c r="D18" s="23">
        <f t="shared" ref="D18:M18" si="1">D14*D16</f>
        <v>2.8463595765187439</v>
      </c>
      <c r="E18" s="23">
        <f t="shared" si="1"/>
        <v>97.317127261202842</v>
      </c>
      <c r="F18" s="23"/>
      <c r="G18" s="23">
        <f t="shared" si="1"/>
        <v>31436.28070734303</v>
      </c>
      <c r="H18" s="23">
        <f t="shared" si="1"/>
        <v>5236.8098044768703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5.0605086569650293E-3</v>
      </c>
      <c r="H50" s="323">
        <f t="shared" si="2"/>
        <v>0</v>
      </c>
      <c r="I50" s="323">
        <f t="shared" si="2"/>
        <v>0</v>
      </c>
      <c r="J50" s="323">
        <f t="shared" si="2"/>
        <v>0</v>
      </c>
      <c r="K50" s="323">
        <f t="shared" si="2"/>
        <v>0</v>
      </c>
      <c r="L50" s="323">
        <f t="shared" si="2"/>
        <v>0</v>
      </c>
      <c r="M50" s="323">
        <f t="shared" si="2"/>
        <v>2.2505319755624189E-4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5.0605086569650293E-3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2.2505319755624189E-4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1405.6968491569526</v>
      </c>
      <c r="H54" s="21">
        <f t="shared" si="3"/>
        <v>0</v>
      </c>
      <c r="I54" s="21">
        <f t="shared" si="3"/>
        <v>0</v>
      </c>
      <c r="J54" s="21">
        <f t="shared" si="3"/>
        <v>0</v>
      </c>
      <c r="K54" s="21">
        <f t="shared" si="3"/>
        <v>0</v>
      </c>
      <c r="L54" s="21">
        <f t="shared" si="3"/>
        <v>0</v>
      </c>
      <c r="M54" s="21">
        <f t="shared" si="3"/>
        <v>62.514777098956081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0.20623062151475766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375.32105872490638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2852.6401999999998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2852.6401999999998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2019-08-12T08:02:35Z</dcterms:modified>
</cp:coreProperties>
</file>