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D20" s="1"/>
  <c r="C18"/>
  <c r="B18"/>
  <c r="L9"/>
  <c r="K9"/>
  <c r="K10" s="1"/>
  <c r="G9"/>
  <c r="G10" s="1"/>
  <c r="F9"/>
  <c r="F10" s="1"/>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K20"/>
  <c r="O18"/>
  <c r="B17"/>
  <c r="G12"/>
  <c r="F12"/>
  <c r="E12"/>
  <c r="D12"/>
  <c r="C12"/>
  <c r="L10"/>
  <c r="D10"/>
  <c r="B8"/>
  <c r="B6"/>
  <c r="B5"/>
  <c r="B4"/>
  <c r="I102" l="1"/>
  <c r="H17" s="1"/>
  <c r="H20" s="1"/>
  <c r="F102"/>
  <c r="G102"/>
  <c r="B102"/>
  <c r="C17" s="1"/>
  <c r="C102"/>
  <c r="B10"/>
  <c r="C98"/>
  <c r="O9"/>
  <c r="B20"/>
  <c r="O19"/>
  <c r="C20"/>
  <c r="D102"/>
  <c r="H102"/>
  <c r="E102"/>
  <c r="E17" s="1"/>
  <c r="E20" s="1"/>
  <c r="N6" i="17"/>
  <c r="I17" i="18" l="1"/>
  <c r="I20" s="1"/>
  <c r="I101"/>
  <c r="H8" s="1"/>
  <c r="H10" s="1"/>
  <c r="B101"/>
  <c r="C8" s="1"/>
  <c r="C10" s="1"/>
  <c r="C101"/>
  <c r="D101"/>
  <c r="F101"/>
  <c r="G101"/>
  <c r="H101"/>
  <c r="E101"/>
  <c r="E8" s="1"/>
  <c r="E10" s="1"/>
  <c r="J17"/>
  <c r="J20" s="1"/>
  <c r="L6" i="17"/>
  <c r="F6"/>
  <c r="D6"/>
  <c r="C6"/>
  <c r="N16" i="16"/>
  <c r="L16"/>
  <c r="F16"/>
  <c r="D16"/>
  <c r="C16"/>
  <c r="B16"/>
  <c r="B13" i="15"/>
  <c r="O8" i="18" l="1"/>
  <c r="O10" s="1"/>
  <c r="I8"/>
  <c r="I10" s="1"/>
  <c r="J8"/>
  <c r="J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K78" i="14"/>
  <c r="K8" i="59"/>
  <c r="K10" s="1"/>
  <c r="E90" i="14"/>
  <c r="E18" i="59"/>
  <c r="O28" i="48"/>
  <c r="D22" i="14"/>
  <c r="L22"/>
  <c r="K20" i="59"/>
  <c r="L20"/>
  <c r="D14" i="48"/>
  <c r="E20" i="59"/>
  <c r="E10"/>
  <c r="G22" i="14"/>
  <c r="O22"/>
  <c r="P22"/>
  <c r="O25" i="48"/>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9"/>
  <c r="H26"/>
  <c r="H32"/>
  <c r="H25"/>
  <c r="H30"/>
  <c r="H24"/>
  <c r="H28"/>
  <c r="H22"/>
  <c r="H23"/>
  <c r="D11" i="14"/>
  <c r="C4" i="48"/>
  <c r="G32"/>
  <c r="G26"/>
  <c r="G22"/>
  <c r="G30"/>
  <c r="G29"/>
  <c r="G25"/>
  <c r="G24"/>
  <c r="G23"/>
  <c r="C11" i="14"/>
  <c r="B4" i="48"/>
  <c r="F29"/>
  <c r="F32"/>
  <c r="F28"/>
  <c r="F24"/>
  <c r="F27"/>
  <c r="F31"/>
  <c r="F30"/>
  <c r="N29"/>
  <c r="N32"/>
  <c r="N31"/>
  <c r="N30"/>
  <c r="N27"/>
  <c r="N24"/>
  <c r="N28"/>
  <c r="B10"/>
  <c r="C19" i="14"/>
  <c r="E32" i="48"/>
  <c r="E28"/>
  <c r="E29"/>
  <c r="E30"/>
  <c r="E31"/>
  <c r="E24"/>
  <c r="M26"/>
  <c r="M32"/>
  <c r="M22"/>
  <c r="M29"/>
  <c r="M25"/>
  <c r="M30"/>
  <c r="M24"/>
  <c r="M23"/>
  <c r="K5"/>
  <c r="L10" i="14"/>
  <c r="L16" s="1"/>
  <c r="L27" s="1"/>
  <c r="D30" i="48"/>
  <c r="D28"/>
  <c r="D31"/>
  <c r="D29"/>
  <c r="D24"/>
  <c r="D32"/>
  <c r="L32"/>
  <c r="L28"/>
  <c r="L29"/>
  <c r="L27"/>
  <c r="L31"/>
  <c r="L24"/>
  <c r="L22"/>
  <c r="L30"/>
  <c r="P5"/>
  <c r="P23" s="1"/>
  <c r="Q10" i="14"/>
  <c r="K32" i="48"/>
  <c r="K28"/>
  <c r="K26"/>
  <c r="K22"/>
  <c r="K31"/>
  <c r="K30"/>
  <c r="K29"/>
  <c r="K24"/>
  <c r="K27"/>
  <c r="K25"/>
  <c r="B7"/>
  <c r="C24" i="14"/>
  <c r="C26" s="1"/>
  <c r="J29" i="48"/>
  <c r="J31"/>
  <c r="J32"/>
  <c r="J30"/>
  <c r="J27"/>
  <c r="J28"/>
  <c r="J24"/>
  <c r="P4"/>
  <c r="Q11" i="14"/>
  <c r="O4" i="48"/>
  <c r="P11" i="14"/>
  <c r="I28" i="48"/>
  <c r="I29"/>
  <c r="I31"/>
  <c r="I26"/>
  <c r="I32"/>
  <c r="I25"/>
  <c r="I27"/>
  <c r="I30"/>
  <c r="I24"/>
  <c r="I22"/>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O5" i="48"/>
  <c r="O23" s="1"/>
  <c r="P10" i="14"/>
  <c r="K15" i="48"/>
  <c r="K23"/>
  <c r="K33" s="1"/>
  <c r="F4"/>
  <c r="F22" s="1"/>
  <c r="G11" i="14"/>
  <c r="K24"/>
  <c r="K26" s="1"/>
  <c r="J7" i="48"/>
  <c r="J25" s="1"/>
  <c r="J10" i="14"/>
  <c r="J16" s="1"/>
  <c r="J27" s="1"/>
  <c r="I5" i="48"/>
  <c r="M12" i="22"/>
  <c r="N18" i="14"/>
  <c r="M13" i="48"/>
  <c r="M31" s="1"/>
  <c r="G13"/>
  <c r="H18" i="14"/>
  <c r="H13" i="48"/>
  <c r="H31" s="1"/>
  <c r="I18" i="14"/>
  <c r="P15" i="48"/>
  <c r="P22"/>
  <c r="P33" s="1"/>
  <c r="E9"/>
  <c r="F20" i="14"/>
  <c r="F22" s="1"/>
  <c r="P22" i="16"/>
  <c r="Q43" i="14" s="1"/>
  <c r="P8" i="48"/>
  <c r="P26" s="1"/>
  <c r="Q13" i="14"/>
  <c r="D9" i="48"/>
  <c r="D27" s="1"/>
  <c r="E20" i="14"/>
  <c r="E22" s="1"/>
  <c r="O22" i="48"/>
  <c r="Q16" i="14"/>
  <c r="Q27" s="1"/>
  <c r="L63"/>
  <c r="D24"/>
  <c r="D26" s="1"/>
  <c r="C7" i="48"/>
  <c r="C8"/>
  <c r="D13" i="14"/>
  <c r="F7" i="48"/>
  <c r="F25" s="1"/>
  <c r="G24" i="14"/>
  <c r="G26" s="1"/>
  <c r="L8" i="48"/>
  <c r="L26" s="1"/>
  <c r="M13" i="14"/>
  <c r="D7" i="48"/>
  <c r="E24" i="14"/>
  <c r="M10"/>
  <c r="L5" i="48"/>
  <c r="D10" i="14"/>
  <c r="C5" i="48"/>
  <c r="I20" i="15"/>
  <c r="J40" i="14" s="1"/>
  <c r="J46" s="1"/>
  <c r="J61" s="1"/>
  <c r="H12" i="22"/>
  <c r="O18" i="16"/>
  <c r="B36" i="13"/>
  <c r="E8" i="17"/>
  <c r="G31" i="20"/>
  <c r="H48" i="14" s="1"/>
  <c r="G12" i="22"/>
  <c r="L8" i="17"/>
  <c r="D16" i="15"/>
  <c r="B34" i="13"/>
  <c r="B35"/>
  <c r="D18" i="16"/>
  <c r="M51" i="22"/>
  <c r="M50" s="1"/>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N4" i="48"/>
  <c r="N22" s="1"/>
  <c r="O11" i="14"/>
  <c r="I23" i="48"/>
  <c r="I33" s="1"/>
  <c r="I15"/>
  <c r="K11" i="14"/>
  <c r="J4" i="48"/>
  <c r="E27"/>
  <c r="O8"/>
  <c r="P13" i="14"/>
  <c r="P16" s="1"/>
  <c r="P27" s="1"/>
  <c r="G31" i="48"/>
  <c r="Q13"/>
  <c r="N19" i="14"/>
  <c r="M10" i="48"/>
  <c r="M28" s="1"/>
  <c r="E7"/>
  <c r="E25" s="1"/>
  <c r="F24" i="14"/>
  <c r="F26" s="1"/>
  <c r="H19"/>
  <c r="G10" i="48"/>
  <c r="N52" i="14"/>
  <c r="N61" s="1"/>
  <c r="J63"/>
  <c r="M14" i="22"/>
  <c r="G14"/>
  <c r="R18" i="14"/>
  <c r="C22"/>
  <c r="P46"/>
  <c r="P61" s="1"/>
  <c r="Q6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22" l="1"/>
  <c r="N27" s="1"/>
  <c r="N63" s="1"/>
  <c r="G28" i="48"/>
  <c r="Q10"/>
  <c r="H9"/>
  <c r="I20" i="14"/>
  <c r="I22" s="1"/>
  <c r="I27" s="1"/>
  <c r="E20" i="15"/>
  <c r="F40" i="14" s="1"/>
  <c r="F46" s="1"/>
  <c r="F61" s="1"/>
  <c r="E5" i="48"/>
  <c r="E23" s="1"/>
  <c r="F10" i="14"/>
  <c r="M9" i="48"/>
  <c r="N20" i="14"/>
  <c r="J22" i="48"/>
  <c r="E22"/>
  <c r="Q4"/>
  <c r="K10" i="14"/>
  <c r="J5" i="48"/>
  <c r="J23" s="1"/>
  <c r="H20" i="14"/>
  <c r="G9" i="48"/>
  <c r="O26"/>
  <c r="O33" s="1"/>
  <c r="O15"/>
  <c r="E61" i="14"/>
  <c r="P63"/>
  <c r="R11"/>
  <c r="R19"/>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J22" i="16" l="1"/>
  <c r="K43" i="14" s="1"/>
  <c r="K46" s="1"/>
  <c r="K61" s="1"/>
  <c r="K13"/>
  <c r="J8" i="48"/>
  <c r="J26" s="1"/>
  <c r="M27"/>
  <c r="M33" s="1"/>
  <c r="M15"/>
  <c r="H22" i="14"/>
  <c r="H27" s="1"/>
  <c r="H63" s="1"/>
  <c r="R20"/>
  <c r="R22" s="1"/>
  <c r="G27" i="48"/>
  <c r="G33" s="1"/>
  <c r="G15"/>
  <c r="Q9"/>
  <c r="E8"/>
  <c r="F13" i="14"/>
  <c r="H27" i="48"/>
  <c r="H33" s="1"/>
  <c r="H15"/>
  <c r="K16" i="14"/>
  <c r="K27" s="1"/>
  <c r="F16"/>
  <c r="F27" s="1"/>
  <c r="F63" s="1"/>
  <c r="I63"/>
  <c r="Q5" i="48"/>
  <c r="R10" i="14"/>
  <c r="J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<sst xmlns="http://schemas.openxmlformats.org/spreadsheetml/2006/main" count="2459" uniqueCount="926">
  <si>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</si>
  <si>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</si>
  <si>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</si>
  <si>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</si>
  <si>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</si>
  <si>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</si>
  <si>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</si>
  <si>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</si>
  <si>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</si>
  <si>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</si>
  <si>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</si>
  <si>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</si>
  <si>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</si>
  <si>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</si>
  <si>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</si>
  <si>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</si>
  <si>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</si>
  <si>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</si>
  <si>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</si>
  <si>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</si>
  <si>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</si>
  <si>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</si>
  <si>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</si>
  <si>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</si>
  <si>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</si>
  <si>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</si>
  <si>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</si>
  <si>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</si>
  <si>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</si>
  <si>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</si>
  <si>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</si>
  <si>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</si>
  <si>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</si>
  <si>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</si>
  <si>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</si>
  <si>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</si>
  <si>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</si>
  <si>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</si>
  <si>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</si>
  <si>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</si>
  <si>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</si>
  <si>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</si>
  <si>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</si>
  <si>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</si>
  <si>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</si>
  <si>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</si>
  <si>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</si>
  <si>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</si>
  <si>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</si>
  <si>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</si>
  <si>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</si>
  <si>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</si>
  <si>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</si>
  <si>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</si>
  <si>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</si>
  <si>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</si>
  <si>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</si>
  <si>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</si>
  <si>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</si>
  <si>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</si>
  <si>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</si>
  <si>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</si>
  <si>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</si>
  <si>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</si>
  <si>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</si>
  <si>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</si>
  <si>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</si>
  <si>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</si>
  <si>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</si>
  <si>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</si>
  <si>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</si>
  <si>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</si>
  <si>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</si>
  <si>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</si>
  <si>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</si>
  <si>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</si>
  <si>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</si>
  <si>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</si>
  <si>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</si>
  <si>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</si>
  <si>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</si>
  <si>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</si>
  <si>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</si>
  <si>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</si>
  <si>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</si>
  <si>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</si>
  <si>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</si>
  <si>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</si>
  <si>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</si>
  <si>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</si>
  <si>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</si>
  <si>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</si>
  <si>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</si>
  <si>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</si>
  <si>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</si>
  <si>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</si>
  <si>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</si>
  <si>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</si>
  <si>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</si>
  <si>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</si>
  <si>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</si>
  <si>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</si>
  <si>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</si>
  <si>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</si>
  <si>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</si>
  <si>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</si>
  <si>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</si>
  <si>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</si>
  <si>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</si>
  <si>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</si>
  <si>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</si>
  <si>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</si>
  <si>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</si>
  <si>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</si>
  <si>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</si>
  <si>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</si>
  <si>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</si>
  <si>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</si>
  <si>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</si>
  <si>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</si>
  <si>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</si>
  <si>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</si>
  <si>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</si>
  <si>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</si>
  <si>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</si>
  <si>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</si>
  <si>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</si>
  <si>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</si>
  <si>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</si>
  <si>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</si>
  <si>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</si>
  <si>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</si>
  <si>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</si>
  <si>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</si>
  <si>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</si>
  <si>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</si>
  <si>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</si>
  <si>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</si>
  <si>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</si>
  <si>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</si>
  <si>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</si>
  <si>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</si>
  <si>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</si>
  <si>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</si>
  <si>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</si>
  <si>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</si>
  <si>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</si>
  <si>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</si>
  <si>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</si>
  <si>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</si>
  <si>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</si>
  <si>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</si>
  <si>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</si>
  <si>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</si>
  <si>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</si>
  <si>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</si>
  <si>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</si>
  <si>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</si>
  <si>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</si>
  <si>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</si>
  <si>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</si>
  <si>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</si>
  <si>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</si>
  <si>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</si>
  <si>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</si>
  <si>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</si>
  <si>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</si>
  <si>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</si>
  <si>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</si>
  <si>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</si>
  <si>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</si>
  <si>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</si>
  <si>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</si>
  <si>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</si>
  <si>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</si>
  <si>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</si>
  <si>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</si>
  <si>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</si>
  <si>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</si>
  <si>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</si>
  <si>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</si>
  <si>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</si>
  <si>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</si>
  <si>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</si>
  <si>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</si>
  <si>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</si>
  <si>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</si>
  <si>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</si>
  <si>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</si>
  <si>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</si>
  <si>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</si>
  <si>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</si>
  <si>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</si>
  <si>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</si>
  <si>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</si>
  <si>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</si>
  <si>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</si>
  <si>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</si>
  <si>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</si>
  <si>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</si>
  <si>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</si>
  <si>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</si>
  <si>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</si>
  <si>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</si>
  <si>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</si>
  <si>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</si>
  <si>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</si>
  <si>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</si>
  <si>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</si>
  <si>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</si>
  <si>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</si>
  <si>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</si>
  <si>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</si>
  <si>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</si>
  <si>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</si>
  <si>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</si>
  <si>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</si>
  <si>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</si>
  <si>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</si>
  <si>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</si>
  <si>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</si>
  <si>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</si>
  <si>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</si>
  <si>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</si>
  <si>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</si>
  <si>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</si>
  <si>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</si>
  <si>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</si>
  <si>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</si>
  <si>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</si>
  <si>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</si>
  <si>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</si>
  <si>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</si>
  <si>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</si>
  <si>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</si>
  <si>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</si>
  <si>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</si>
  <si>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</si>
  <si>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</si>
  <si>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</si>
  <si>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</si>
  <si>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</si>
  <si>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</si>
  <si>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</si>
  <si>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</si>
  <si>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</si>
  <si>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</si>
  <si>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</si>
  <si>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</si>
  <si>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</si>
  <si>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</si>
  <si>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</si>
  <si>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</si>
  <si>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</si>
  <si>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</si>
  <si>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</si>
  <si>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</si>
  <si>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</si>
  <si>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</si>
  <si>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</si>
  <si>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</si>
  <si>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</si>
  <si>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</si>
  <si>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</si>
  <si>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</si>
  <si>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</si>
  <si>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</si>
  <si>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</si>
  <si>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</si>
  <si>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</si>
  <si>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</si>
  <si>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</si>
  <si>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</si>
  <si>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</si>
  <si>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</si>
  <si>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</si>
  <si>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</si>
  <si>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</si>
  <si>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</si>
  <si>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</si>
  <si>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</si>
  <si>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</si>
  <si>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</si>
  <si>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</si>
  <si>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</si>
  <si>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</si>
  <si>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</si>
  <si>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</si>
  <si>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</si>
  <si>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</si>
  <si>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</si>
  <si>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</si>
  <si>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</si>
  <si>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</si>
  <si>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</si>
  <si>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</si>
  <si>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</si>
  <si>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</si>
  <si>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</si>
  <si>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</si>
  <si>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</si>
  <si>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</si>
  <si>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</si>
  <si>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</si>
  <si>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</si>
  <si>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</si>
  <si>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</si>
  <si>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</si>
  <si>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</si>
  <si>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</si>
  <si>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</si>
  <si>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</si>
  <si>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</si>
  <si>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</si>
  <si>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</si>
  <si>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</si>
  <si>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</si>
  <si>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</si>
  <si>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</si>
  <si>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</si>
  <si>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</si>
  <si>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</si>
  <si>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</si>
  <si>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</si>
  <si>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</si>
  <si>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</si>
  <si>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</si>
  <si>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</si>
  <si>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</si>
  <si>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</si>
  <si>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</si>
  <si>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</si>
  <si>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</si>
  <si>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</si>
  <si>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</si>
  <si>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</si>
  <si>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</si>
  <si>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</si>
  <si>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</si>
  <si>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</si>
  <si>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</si>
  <si>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</si>
  <si>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</si>
  <si>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</si>
  <si>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</si>
  <si>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</si>
  <si>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</si>
  <si>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</si>
  <si>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</si>
  <si>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</si>
  <si>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</si>
  <si>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</si>
  <si>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</si>
  <si>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</si>
  <si>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</si>
  <si>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</si>
  <si>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</si>
  <si>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</si>
  <si>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</si>
  <si>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</si>
  <si>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</si>
  <si>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</si>
  <si>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</si>
  <si>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</si>
  <si>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</si>
  <si>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</si>
  <si>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</si>
  <si>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</si>
  <si>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</si>
  <si>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</si>
  <si>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</si>
  <si>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</si>
  <si>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</si>
  <si>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</si>
  <si>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</si>
  <si>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</si>
  <si>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</si>
  <si>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</si>
  <si>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</si>
  <si>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</si>
  <si>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</si>
  <si>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</si>
  <si>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</si>
  <si>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</si>
  <si>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</si>
  <si>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</si>
  <si>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</si>
  <si>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</si>
  <si>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</si>
  <si>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</si>
  <si>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</si>
  <si>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</si>
  <si>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</si>
  <si>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</si>
  <si>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</si>
  <si>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</si>
  <si>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</si>
  <si>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</si>
  <si>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</si>
  <si>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</si>
  <si>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</si>
  <si>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</si>
  <si>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</si>
  <si>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</si>
  <si>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</si>
  <si>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</si>
  <si>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</si>
  <si>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</si>
  <si>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</si>
  <si>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</si>
  <si>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</si>
  <si>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</si>
  <si>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</si>
  <si>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</si>
  <si>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</si>
  <si>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</si>
  <si>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</si>
  <si>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</si>
  <si>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</si>
  <si>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</si>
  <si>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</si>
  <si>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</si>
  <si>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</si>
  <si>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</si>
  <si>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</si>
  <si>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</si>
  <si>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</si>
  <si>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</si>
  <si>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</si>
  <si>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</si>
  <si>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</si>
  <si>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</si>
  <si>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</si>
  <si>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</si>
  <si>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</si>
  <si>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</si>
  <si>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</si>
  <si>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</si>
  <si>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</si>
  <si>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</si>
  <si>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</si>
  <si>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</si>
  <si>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</si>
  <si>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</si>
  <si>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</si>
  <si>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</si>
  <si>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</si>
  <si>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</si>
  <si>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</si>
  <si>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</si>
  <si>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</si>
  <si>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</si>
  <si>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</si>
  <si>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</si>
  <si>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</si>
  <si>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</si>
  <si>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</si>
  <si>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</si>
  <si>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</si>
  <si>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</si>
  <si>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</si>
  <si>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</si>
  <si>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</si>
  <si>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</si>
  <si>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</si>
  <si>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</si>
  <si>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</si>
  <si>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</si>
  <si>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</si>
  <si>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</si>
  <si>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</si>
  <si>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</si>
  <si>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</si>
  <si>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</si>
  <si>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</si>
  <si>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</si>
  <si>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</si>
  <si>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</si>
  <si>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</si>
  <si>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</si>
  <si>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</si>
  <si>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</si>
  <si>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</si>
  <si>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</si>
  <si>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</si>
  <si>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</si>
  <si>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</si>
  <si>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</si>
  <si>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</si>
  <si>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</si>
  <si>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</si>
  <si>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</si>
  <si>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</si>
  <si>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</si>
  <si>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</si>
  <si>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</si>
  <si>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</si>
  <si>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</si>
  <si>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</si>
  <si>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</si>
  <si>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</si>
  <si>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</si>
  <si>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</si>
  <si>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</si>
  <si>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</si>
  <si>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</si>
  <si>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</si>
  <si>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</si>
  <si>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</si>
  <si>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</si>
  <si>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</si>
  <si>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</si>
  <si>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</si>
  <si>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</si>
  <si>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</si>
  <si>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</si>
  <si>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</si>
  <si>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</si>
  <si>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</si>
  <si>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</si>
  <si>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</si>
  <si>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</si>
  <si>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</si>
  <si>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</si>
  <si>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</si>
  <si>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</si>
  <si>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</si>
  <si>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</si>
  <si>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</si>
  <si>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</si>
  <si>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</si>
  <si>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</si>
  <si>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</si>
  <si>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</si>
  <si>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</si>
  <si>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</si>
  <si>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</si>
  <si>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</si>
  <si>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</si>
  <si>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</si>
  <si>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</si>
  <si>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</si>
  <si>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</si>
  <si>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</si>
  <si>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</si>
  <si>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</si>
  <si>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</si>
  <si>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</si>
  <si>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</si>
  <si>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</si>
  <si>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</si>
  <si>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</si>
  <si>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</si>
  <si>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</si>
  <si>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</si>
  <si>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</si>
  <si>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</si>
  <si>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</si>
  <si>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</si>
  <si>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</si>
  <si>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</si>
  <si>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</si>
  <si>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</si>
  <si>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</si>
  <si>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</si>
  <si>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</si>
  <si>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</si>
  <si>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</si>
  <si>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</si>
  <si>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</si>
  <si>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</si>
  <si>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</si>
  <si>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</si>
  <si>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</si>
  <si>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</si>
  <si>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</si>
  <si>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</si>
  <si>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</si>
  <si>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</si>
  <si>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</si>
  <si>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</si>
  <si>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</si>
  <si>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</si>
  <si>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</si>
  <si>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</si>
  <si>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</si>
  <si>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</si>
  <si>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</si>
  <si>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</si>
  <si>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</si>
  <si>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</si>
  <si>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</si>
  <si>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</si>
  <si>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</si>
  <si>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</si>
  <si>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</si>
  <si>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</si>
  <si>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</si>
  <si>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</si>
  <si>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</si>
  <si>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</si>
  <si>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</si>
  <si>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</si>
  <si>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</si>
  <si>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</si>
  <si>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</si>
  <si>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</si>
  <si>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</si>
  <si>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</si>
  <si>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</si>
  <si>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</si>
  <si>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</si>
  <si>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</si>
  <si>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</si>
  <si>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</si>
  <si>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</si>
  <si>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</si>
  <si>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</si>
  <si>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</si>
  <si>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</si>
  <si>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</si>
  <si>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</si>
  <si>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</si>
  <si>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</si>
  <si>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</si>
  <si>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</si>
  <si>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</si>
  <si>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</si>
  <si>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</si>
  <si>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</si>
  <si>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</si>
  <si>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</si>
  <si>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</si>
  <si>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</si>
  <si>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</si>
  <si>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</si>
  <si>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</si>
  <si>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</si>
  <si>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</si>
  <si>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</si>
  <si>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</si>
  <si>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</si>
  <si>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</si>
  <si>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</si>
  <si>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</si>
  <si>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</si>
  <si>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</si>
  <si>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</si>
  <si>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</si>
  <si>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</si>
  <si>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</si>
  <si>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</si>
  <si>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</si>
  <si>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</si>
  <si>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</si>
  <si>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</si>
  <si>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</si>
  <si>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</si>
  <si>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</si>
  <si>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</si>
  <si>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</si>
  <si>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</si>
  <si>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</si>
  <si>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</si>
  <si>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</si>
  <si>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</si>
  <si>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</si>
  <si>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</si>
  <si>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</si>
  <si>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</si>
  <si>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</si>
  <si>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</si>
  <si>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</si>
  <si>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</si>
  <si>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</si>
  <si>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</si>
  <si>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</si>
  <si>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</si>
  <si>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</si>
  <si>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</si>
  <si>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</si>
  <si>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</si>
  <si>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</si>
  <si>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</si>
  <si>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</si>
  <si>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</si>
  <si>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</si>
  <si>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</si>
  <si>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</si>
  <si>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</si>
  <si>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</si>
  <si>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</si>
  <si>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</si>
  <si>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</si>
  <si>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</si>
  <si>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</si>
  <si>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</si>
  <si>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</si>
  <si>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</si>
  <si>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</si>
  <si>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</si>
  <si>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</si>
  <si>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</si>
  <si>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</si>
  <si>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</si>
  <si>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</si>
  <si>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</si>
  <si>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</si>
  <si>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</si>
  <si>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</si>
  <si>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</si>
  <si>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</si>
  <si>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</si>
  <si>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</si>
  <si>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</si>
  <si>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</si>
  <si>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</si>
  <si>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</si>
  <si>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</si>
  <si>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</si>
  <si>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</si>
  <si>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</si>
  <si>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</si>
  <si>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</si>
  <si>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</si>
  <si>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</si>
  <si>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</si>
  <si>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</si>
  <si>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</si>
  <si>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</si>
  <si>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</si>
  <si>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</si>
  <si>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</si>
  <si>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</si>
  <si>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</si>
  <si>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</si>
  <si>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</si>
  <si>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</si>
  <si>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</si>
  <si>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</si>
  <si>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</si>
  <si>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</si>
  <si>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</si>
  <si>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</si>
  <si>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</si>
  <si>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</si>
  <si>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</si>
  <si>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</si>
  <si>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</si>
  <si>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</si>
  <si>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</si>
  <si>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</si>
  <si>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</si>
  <si>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</si>
  <si>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</si>
  <si>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</si>
  <si>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</si>
  <si>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</si>
  <si>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</si>
  <si>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</si>
  <si>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</si>
  <si>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</si>
  <si>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</si>
  <si>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</si>
  <si>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</si>
  <si>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</si>
  <si>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</si>
  <si>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</si>
  <si>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</si>
  <si>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</si>
  <si>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</si>
  <si>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</si>
  <si>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</si>
  <si>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</si>
  <si>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</si>
  <si>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</si>
  <si>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</si>
  <si>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</si>
  <si>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</si>
  <si>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</si>
  <si>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</si>
  <si>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</si>
  <si>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</si>
  <si>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</si>
  <si>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</si>
  <si>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</si>
  <si>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</si>
  <si>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</si>
  <si>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</si>
  <si>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</si>
  <si>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</si>
  <si>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</si>
  <si>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</si>
  <si>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</si>
  <si>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</si>
  <si>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</si>
  <si>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</si>
  <si>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</si>
  <si>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</si>
  <si>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</si>
  <si>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</si>
  <si>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</si>
  <si>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</si>
  <si>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</si>
  <si>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</si>
  <si>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</si>
  <si>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</si>
  <si>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</si>
  <si>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</si>
  <si>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</si>
  <si>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</si>
  <si>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</si>
  <si>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</si>
  <si>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</si>
  <si>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</si>
  <si>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</si>
  <si>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</si>
  <si>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</si>
  <si>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</si>
  <si>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</si>
  <si>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</si>
  <si>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</si>
  <si>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</si>
  <si>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</si>
  <si>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</si>
  <si>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</si>
  <si>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</si>
  <si>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</si>
  <si>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</si>
  <si>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</si>
  <si>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</si>
  <si>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</si>
  <si>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</si>
  <si>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</si>
  <si>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</si>
  <si>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</si>
  <si>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</si>
  <si>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</si>
  <si>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</si>
  <si>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</si>
  <si>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</si>
  <si>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</si>
  <si>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</si>
  <si>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</si>
  <si>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</si>
  <si>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</si>
  <si>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</si>
  <si>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</si>
  <si>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</si>
  <si>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</si>
  <si>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</si>
  <si>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</si>
  <si>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</si>
  <si>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</si>
  <si>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</si>
  <si>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</si>
  <si>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</si>
  <si>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</si>
  <si>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</si>
  <si>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</si>
  <si>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</si>
  <si>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</si>
  <si>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</si>
  <si>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</si>
  <si>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</si>
  <si>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</si>
  <si>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</si>
  <si>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</si>
  <si>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</si>
  <si>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</si>
  <si>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</si>
  <si>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</si>
  <si>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</si>
  <si>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</si>
  <si>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</si>
  <si>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</si>
  <si>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</si>
  <si>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</si>
  <si>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</si>
  <si>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</si>
  <si>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</si>
  <si>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</si>
  <si>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</si>
  <si>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</si>
  <si>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</si>
  <si>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</si>
  <si>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</si>
  <si>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</si>
  <si>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</si>
  <si>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</si>
  <si>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</si>
  <si>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</si>
  <si>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</si>
  <si>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</si>
  <si>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</si>
  <si>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</si>
  <si>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</si>
  <si>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</si>
  <si>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</si>
  <si>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</si>
  <si>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</si>
  <si>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</si>
  <si>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</si>
  <si>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</si>
  <si>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</si>
  <si>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</si>
  <si>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31005</t>
  </si>
  <si>
    <t>BRUGGE</t>
  </si>
  <si>
    <t>Cultuurgrond (ha)</t>
  </si>
  <si>
    <t>Paarden&amp;pony's 200 - 600 kg</t>
  </si>
  <si>
    <t>Paarden&amp;pony's &lt; 200 kg</t>
  </si>
  <si>
    <t>op basis van VEA (maart 2018) en Inventaris Hernieuwbare Energiebronnen (juni 2018)</t>
  </si>
  <si>
    <t>VEA (juni 2018)</t>
  </si>
  <si>
    <t>Guido Vandenbulcke</t>
  </si>
  <si>
    <t>Groene-Poortdreef 3 , 8200 Sint-Michiels</t>
  </si>
  <si>
    <t>WKK-0279 Guido Vandenbulcke</t>
  </si>
  <si>
    <t>stirlingmotor</t>
  </si>
  <si>
    <t>IMEWO</t>
  </si>
  <si>
    <t>Sweetee bvba</t>
  </si>
  <si>
    <t>Hoge Hul 34-38 , 8000 Brugge</t>
  </si>
  <si>
    <t>WKK-0489 Sweetee</t>
  </si>
  <si>
    <t>interne verbrandingsmotor</t>
  </si>
  <si>
    <t>WKK interne verbrandinsgmotor (gas)</t>
  </si>
  <si>
    <t>Eric Claus</t>
  </si>
  <si>
    <t>Sint-Jansstraat 10 , 8000 Brugge</t>
  </si>
  <si>
    <t>WKK-0580 Eric Claus</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</si>
</sst>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948650.62077680475</c:v>
                </c:pt>
                <c:pt idx="1">
                  <c:v>824884.8155097384</c:v>
                </c:pt>
                <c:pt idx="2">
                  <c:v>8394.6370000000006</c:v>
                </c:pt>
                <c:pt idx="3">
                  <c:v>56963.046678278675</c:v>
                </c:pt>
                <c:pt idx="4">
                  <c:v>394790.43876195955</c:v>
                </c:pt>
                <c:pt idx="5">
                  <c:v>714905.52298713045</c:v>
                </c:pt>
                <c:pt idx="6">
                  <c:v>24458.641956292249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948650.62077680475</c:v>
                </c:pt>
                <c:pt idx="1">
                  <c:v>824884.8155097384</c:v>
                </c:pt>
                <c:pt idx="2">
                  <c:v>8394.6370000000006</c:v>
                </c:pt>
                <c:pt idx="3">
                  <c:v>56963.046678278675</c:v>
                </c:pt>
                <c:pt idx="4">
                  <c:v>394790.43876195955</c:v>
                </c:pt>
                <c:pt idx="5">
                  <c:v>714905.52298713045</c:v>
                </c:pt>
                <c:pt idx="6">
                  <c:v>24458.641956292249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177929.3128490746</c:v>
                </c:pt>
                <c:pt idx="2">
                  <c:v>162470.19874061036</c:v>
                </c:pt>
                <c:pt idx="3">
                  <c:v>1602.5394553600497</c:v>
                </c:pt>
                <c:pt idx="4">
                  <c:v>13590.986678362167</c:v>
                </c:pt>
                <c:pt idx="5">
                  <c:v>76226.108821884554</c:v>
                </c:pt>
                <c:pt idx="6">
                  <c:v>180690.43595305123</c:v>
                </c:pt>
                <c:pt idx="7">
                  <c:v>6200.3467129284609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177929.3128490746</c:v>
                </c:pt>
                <c:pt idx="2">
                  <c:v>162470.19874061036</c:v>
                </c:pt>
                <c:pt idx="3">
                  <c:v>1602.5394553600497</c:v>
                </c:pt>
                <c:pt idx="4">
                  <c:v>13590.986678362167</c:v>
                </c:pt>
                <c:pt idx="5">
                  <c:v>76226.108821884554</c:v>
                </c:pt>
                <c:pt idx="6">
                  <c:v>180690.43595305123</c:v>
                </c:pt>
                <c:pt idx="7">
                  <c:v>6200.3467129284609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31005</v>
      </c>
      <c r="B6" s="398"/>
      <c r="C6" s="399"/>
    </row>
    <row r="7" spans="1:7" s="396" customFormat="1" ht="15.75" customHeight="1">
      <c r="A7" s="400" t="str">
        <f>txtMunicipality</f>
        <v>BRUGGE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0.19090038739734067</v>
      </c>
      <c r="C17" s="512">
        <f ca="1">'EF ele_warmte'!B22</f>
        <v>0.23302293259207782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0.19090038739734067</v>
      </c>
      <c r="C29" s="513">
        <f ca="1">'EF ele_warmte'!B22</f>
        <v>0.23302293259207782</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31005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52776</v>
      </c>
      <c r="C9" s="338">
        <v>53799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4566</v>
      </c>
    </row>
    <row r="15" spans="1:6">
      <c r="A15" s="1295" t="s">
        <v>184</v>
      </c>
      <c r="B15" s="335">
        <v>762</v>
      </c>
    </row>
    <row r="16" spans="1:6">
      <c r="A16" s="1295" t="s">
        <v>6</v>
      </c>
      <c r="B16" s="335">
        <v>1312</v>
      </c>
    </row>
    <row r="17" spans="1:6">
      <c r="A17" s="1295" t="s">
        <v>7</v>
      </c>
      <c r="B17" s="335">
        <v>1360</v>
      </c>
    </row>
    <row r="18" spans="1:6">
      <c r="A18" s="1295" t="s">
        <v>8</v>
      </c>
      <c r="B18" s="335">
        <v>1812</v>
      </c>
    </row>
    <row r="19" spans="1:6">
      <c r="A19" s="1295" t="s">
        <v>9</v>
      </c>
      <c r="B19" s="335">
        <v>1727</v>
      </c>
    </row>
    <row r="20" spans="1:6">
      <c r="A20" s="1295" t="s">
        <v>10</v>
      </c>
      <c r="B20" s="335">
        <v>1879</v>
      </c>
    </row>
    <row r="21" spans="1:6">
      <c r="A21" s="1295" t="s">
        <v>11</v>
      </c>
      <c r="B21" s="335">
        <v>4843</v>
      </c>
    </row>
    <row r="22" spans="1:6">
      <c r="A22" s="1295" t="s">
        <v>12</v>
      </c>
      <c r="B22" s="335">
        <v>15329</v>
      </c>
    </row>
    <row r="23" spans="1:6">
      <c r="A23" s="1295" t="s">
        <v>13</v>
      </c>
      <c r="B23" s="335">
        <v>224</v>
      </c>
    </row>
    <row r="24" spans="1:6">
      <c r="A24" s="1295" t="s">
        <v>14</v>
      </c>
      <c r="B24" s="335">
        <v>9</v>
      </c>
    </row>
    <row r="25" spans="1:6">
      <c r="A25" s="1295" t="s">
        <v>15</v>
      </c>
      <c r="B25" s="335">
        <v>1098</v>
      </c>
    </row>
    <row r="26" spans="1:6">
      <c r="A26" s="1295" t="s">
        <v>16</v>
      </c>
      <c r="B26" s="335">
        <v>661</v>
      </c>
    </row>
    <row r="27" spans="1:6">
      <c r="A27" s="1295" t="s">
        <v>17</v>
      </c>
      <c r="B27" s="335">
        <v>145</v>
      </c>
    </row>
    <row r="28" spans="1:6" s="341" customFormat="1">
      <c r="A28" s="1296" t="s">
        <v>18</v>
      </c>
      <c r="B28" s="1296">
        <v>173119</v>
      </c>
    </row>
    <row r="29" spans="1:6">
      <c r="A29" s="1296" t="s">
        <v>909</v>
      </c>
      <c r="B29" s="1296">
        <v>347</v>
      </c>
      <c r="C29" s="341"/>
      <c r="D29" s="341"/>
      <c r="E29" s="341"/>
      <c r="F29" s="341"/>
    </row>
    <row r="30" spans="1:6">
      <c r="A30" s="1291" t="s">
        <v>910</v>
      </c>
      <c r="B30" s="1291">
        <v>70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10</v>
      </c>
      <c r="F35" s="335">
        <v>1055751.0610573101</v>
      </c>
    </row>
    <row r="36" spans="1:6">
      <c r="A36" s="1295" t="s">
        <v>25</v>
      </c>
      <c r="B36" s="1295" t="s">
        <v>27</v>
      </c>
      <c r="C36" s="335">
        <v>13</v>
      </c>
      <c r="D36" s="335">
        <v>2009567.4206813199</v>
      </c>
      <c r="E36" s="335">
        <v>30</v>
      </c>
      <c r="F36" s="335">
        <v>864591.78241909505</v>
      </c>
    </row>
    <row r="37" spans="1:6">
      <c r="A37" s="1295" t="s">
        <v>25</v>
      </c>
      <c r="B37" s="1295" t="s">
        <v>28</v>
      </c>
      <c r="C37" s="335">
        <v>0</v>
      </c>
      <c r="D37" s="335">
        <v>0</v>
      </c>
      <c r="E37" s="335">
        <v>0</v>
      </c>
      <c r="F37" s="335">
        <v>0</v>
      </c>
    </row>
    <row r="38" spans="1:6">
      <c r="A38" s="1295" t="s">
        <v>25</v>
      </c>
      <c r="B38" s="1295" t="s">
        <v>29</v>
      </c>
      <c r="C38" s="335">
        <v>4</v>
      </c>
      <c r="D38" s="335">
        <v>1517554.37761228</v>
      </c>
      <c r="E38" s="335">
        <v>10</v>
      </c>
      <c r="F38" s="335">
        <v>271008.197455802</v>
      </c>
    </row>
    <row r="39" spans="1:6">
      <c r="A39" s="1295" t="s">
        <v>30</v>
      </c>
      <c r="B39" s="1295" t="s">
        <v>31</v>
      </c>
      <c r="C39" s="335">
        <v>43655</v>
      </c>
      <c r="D39" s="335">
        <v>755489310.23849201</v>
      </c>
      <c r="E39" s="335">
        <v>52982</v>
      </c>
      <c r="F39" s="335">
        <v>190010821.55517301</v>
      </c>
    </row>
    <row r="40" spans="1:6">
      <c r="A40" s="1295" t="s">
        <v>30</v>
      </c>
      <c r="B40" s="1295" t="s">
        <v>29</v>
      </c>
      <c r="C40" s="335">
        <v>0</v>
      </c>
      <c r="D40" s="335">
        <v>0</v>
      </c>
      <c r="E40" s="335">
        <v>1</v>
      </c>
      <c r="F40" s="335">
        <v>8779.7116447999997</v>
      </c>
    </row>
    <row r="41" spans="1:6">
      <c r="A41" s="1295" t="s">
        <v>32</v>
      </c>
      <c r="B41" s="1295" t="s">
        <v>33</v>
      </c>
      <c r="C41" s="335">
        <v>416</v>
      </c>
      <c r="D41" s="335">
        <v>13320556.2591173</v>
      </c>
      <c r="E41" s="335">
        <v>798</v>
      </c>
      <c r="F41" s="335">
        <v>15525349.2994687</v>
      </c>
    </row>
    <row r="42" spans="1:6">
      <c r="A42" s="1295" t="s">
        <v>32</v>
      </c>
      <c r="B42" s="1295" t="s">
        <v>34</v>
      </c>
      <c r="C42" s="335">
        <v>3</v>
      </c>
      <c r="D42" s="335">
        <v>6740549.70422542</v>
      </c>
      <c r="E42" s="335">
        <v>3</v>
      </c>
      <c r="F42" s="335">
        <v>3481328.5896358201</v>
      </c>
    </row>
    <row r="43" spans="1:6">
      <c r="A43" s="1295" t="s">
        <v>32</v>
      </c>
      <c r="B43" s="1295" t="s">
        <v>35</v>
      </c>
      <c r="C43" s="335">
        <v>0</v>
      </c>
      <c r="D43" s="335">
        <v>0</v>
      </c>
      <c r="E43" s="335">
        <v>0</v>
      </c>
      <c r="F43" s="335">
        <v>0</v>
      </c>
    </row>
    <row r="44" spans="1:6">
      <c r="A44" s="1295" t="s">
        <v>32</v>
      </c>
      <c r="B44" s="1295" t="s">
        <v>36</v>
      </c>
      <c r="C44" s="335">
        <v>32</v>
      </c>
      <c r="D44" s="335">
        <v>28346512.914209999</v>
      </c>
      <c r="E44" s="335">
        <v>105</v>
      </c>
      <c r="F44" s="335">
        <v>4957184.9143723799</v>
      </c>
    </row>
    <row r="45" spans="1:6">
      <c r="A45" s="1295" t="s">
        <v>32</v>
      </c>
      <c r="B45" s="1295" t="s">
        <v>37</v>
      </c>
      <c r="C45" s="335">
        <v>3</v>
      </c>
      <c r="D45" s="335">
        <v>63284.504963779</v>
      </c>
      <c r="E45" s="335">
        <v>16</v>
      </c>
      <c r="F45" s="335">
        <v>2470719.5938069201</v>
      </c>
    </row>
    <row r="46" spans="1:6">
      <c r="A46" s="1295" t="s">
        <v>32</v>
      </c>
      <c r="B46" s="1295" t="s">
        <v>38</v>
      </c>
      <c r="C46" s="335">
        <v>0</v>
      </c>
      <c r="D46" s="335">
        <v>0</v>
      </c>
      <c r="E46" s="335">
        <v>0</v>
      </c>
      <c r="F46" s="335">
        <v>0</v>
      </c>
    </row>
    <row r="47" spans="1:6">
      <c r="A47" s="1295" t="s">
        <v>32</v>
      </c>
      <c r="B47" s="1295" t="s">
        <v>39</v>
      </c>
      <c r="C47" s="335">
        <v>51</v>
      </c>
      <c r="D47" s="335">
        <v>1902231.48489317</v>
      </c>
      <c r="E47" s="335">
        <v>60</v>
      </c>
      <c r="F47" s="335">
        <v>3955817.3424574099</v>
      </c>
    </row>
    <row r="48" spans="1:6">
      <c r="A48" s="1295" t="s">
        <v>32</v>
      </c>
      <c r="B48" s="1295" t="s">
        <v>29</v>
      </c>
      <c r="C48" s="335">
        <v>137</v>
      </c>
      <c r="D48" s="335">
        <v>140766496.098079</v>
      </c>
      <c r="E48" s="335">
        <v>139</v>
      </c>
      <c r="F48" s="335">
        <v>57951643.932382204</v>
      </c>
    </row>
    <row r="49" spans="1:6">
      <c r="A49" s="1295" t="s">
        <v>32</v>
      </c>
      <c r="B49" s="1295" t="s">
        <v>40</v>
      </c>
      <c r="C49" s="335">
        <v>20</v>
      </c>
      <c r="D49" s="335">
        <v>359379.144089029</v>
      </c>
      <c r="E49" s="335">
        <v>40</v>
      </c>
      <c r="F49" s="335">
        <v>338071.85209230398</v>
      </c>
    </row>
    <row r="50" spans="1:6">
      <c r="A50" s="1295" t="s">
        <v>32</v>
      </c>
      <c r="B50" s="1295" t="s">
        <v>41</v>
      </c>
      <c r="C50" s="335">
        <v>100</v>
      </c>
      <c r="D50" s="335">
        <v>15599426.9800949</v>
      </c>
      <c r="E50" s="335">
        <v>127</v>
      </c>
      <c r="F50" s="335">
        <v>20873077.715736602</v>
      </c>
    </row>
    <row r="51" spans="1:6">
      <c r="A51" s="1295" t="s">
        <v>42</v>
      </c>
      <c r="B51" s="1295" t="s">
        <v>43</v>
      </c>
      <c r="C51" s="335">
        <v>138</v>
      </c>
      <c r="D51" s="335">
        <v>17405648.050842099</v>
      </c>
      <c r="E51" s="335">
        <v>318</v>
      </c>
      <c r="F51" s="335">
        <v>7471605.73543444</v>
      </c>
    </row>
    <row r="52" spans="1:6">
      <c r="A52" s="1295" t="s">
        <v>42</v>
      </c>
      <c r="B52" s="1295" t="s">
        <v>29</v>
      </c>
      <c r="C52" s="335">
        <v>17</v>
      </c>
      <c r="D52" s="335">
        <v>690831.37515214505</v>
      </c>
      <c r="E52" s="335">
        <v>33</v>
      </c>
      <c r="F52" s="335">
        <v>1344211.92878718</v>
      </c>
    </row>
    <row r="53" spans="1:6">
      <c r="A53" s="1295" t="s">
        <v>44</v>
      </c>
      <c r="B53" s="1295" t="s">
        <v>45</v>
      </c>
      <c r="C53" s="335">
        <v>1400</v>
      </c>
      <c r="D53" s="335">
        <v>36275224.985658497</v>
      </c>
      <c r="E53" s="335">
        <v>2218</v>
      </c>
      <c r="F53" s="335">
        <v>11680261.954109199</v>
      </c>
    </row>
    <row r="54" spans="1:6">
      <c r="A54" s="1295" t="s">
        <v>46</v>
      </c>
      <c r="B54" s="1295" t="s">
        <v>47</v>
      </c>
      <c r="C54" s="335">
        <v>0</v>
      </c>
      <c r="D54" s="335">
        <v>0</v>
      </c>
      <c r="E54" s="335">
        <v>2</v>
      </c>
      <c r="F54" s="335">
        <v>8394637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483</v>
      </c>
      <c r="D57" s="335">
        <v>57708338.155958302</v>
      </c>
      <c r="E57" s="335">
        <v>731</v>
      </c>
      <c r="F57" s="335">
        <v>31282908.9459082</v>
      </c>
    </row>
    <row r="58" spans="1:6">
      <c r="A58" s="1295" t="s">
        <v>49</v>
      </c>
      <c r="B58" s="1295" t="s">
        <v>51</v>
      </c>
      <c r="C58" s="335">
        <v>332</v>
      </c>
      <c r="D58" s="335">
        <v>47469824.049875997</v>
      </c>
      <c r="E58" s="335">
        <v>429</v>
      </c>
      <c r="F58" s="335">
        <v>29932998.049075302</v>
      </c>
    </row>
    <row r="59" spans="1:6">
      <c r="A59" s="1295" t="s">
        <v>49</v>
      </c>
      <c r="B59" s="1295" t="s">
        <v>52</v>
      </c>
      <c r="C59" s="335">
        <v>1273</v>
      </c>
      <c r="D59" s="335">
        <v>56730855.128713697</v>
      </c>
      <c r="E59" s="335">
        <v>2086</v>
      </c>
      <c r="F59" s="335">
        <v>77572779.366189107</v>
      </c>
    </row>
    <row r="60" spans="1:6">
      <c r="A60" s="1295" t="s">
        <v>49</v>
      </c>
      <c r="B60" s="1295" t="s">
        <v>53</v>
      </c>
      <c r="C60" s="335">
        <v>966</v>
      </c>
      <c r="D60" s="335">
        <v>85347797.967699796</v>
      </c>
      <c r="E60" s="335">
        <v>1141</v>
      </c>
      <c r="F60" s="335">
        <v>48499052.807636604</v>
      </c>
    </row>
    <row r="61" spans="1:6">
      <c r="A61" s="1295" t="s">
        <v>49</v>
      </c>
      <c r="B61" s="1295" t="s">
        <v>54</v>
      </c>
      <c r="C61" s="335">
        <v>1783</v>
      </c>
      <c r="D61" s="335">
        <v>135457176.185213</v>
      </c>
      <c r="E61" s="335">
        <v>3528</v>
      </c>
      <c r="F61" s="335">
        <v>111931716.76628099</v>
      </c>
    </row>
    <row r="62" spans="1:6">
      <c r="A62" s="1295" t="s">
        <v>49</v>
      </c>
      <c r="B62" s="1295" t="s">
        <v>55</v>
      </c>
      <c r="C62" s="335">
        <v>110</v>
      </c>
      <c r="D62" s="335">
        <v>23605895.071060501</v>
      </c>
      <c r="E62" s="335">
        <v>150</v>
      </c>
      <c r="F62" s="335">
        <v>7665929.30965563</v>
      </c>
    </row>
    <row r="63" spans="1:6">
      <c r="A63" s="1295" t="s">
        <v>49</v>
      </c>
      <c r="B63" s="1295" t="s">
        <v>29</v>
      </c>
      <c r="C63" s="335">
        <v>412</v>
      </c>
      <c r="D63" s="335">
        <v>42205434.986433797</v>
      </c>
      <c r="E63" s="335">
        <v>345</v>
      </c>
      <c r="F63" s="335">
        <v>19249387.196986601</v>
      </c>
    </row>
    <row r="64" spans="1:6">
      <c r="A64" s="1295" t="s">
        <v>56</v>
      </c>
      <c r="B64" s="1295" t="s">
        <v>57</v>
      </c>
      <c r="C64" s="335">
        <v>0</v>
      </c>
      <c r="D64" s="335">
        <v>0</v>
      </c>
      <c r="E64" s="335">
        <v>0</v>
      </c>
      <c r="F64" s="335">
        <v>0</v>
      </c>
    </row>
    <row r="65" spans="1:6">
      <c r="A65" s="1295" t="s">
        <v>56</v>
      </c>
      <c r="B65" s="1295" t="s">
        <v>29</v>
      </c>
      <c r="C65" s="335">
        <v>17</v>
      </c>
      <c r="D65" s="335">
        <v>1831003.7840217201</v>
      </c>
      <c r="E65" s="335">
        <v>14</v>
      </c>
      <c r="F65" s="335">
        <v>1436468.5094729599</v>
      </c>
    </row>
    <row r="66" spans="1:6">
      <c r="A66" s="1295" t="s">
        <v>56</v>
      </c>
      <c r="B66" s="1295" t="s">
        <v>58</v>
      </c>
      <c r="C66" s="335">
        <v>6</v>
      </c>
      <c r="D66" s="335">
        <v>75782.237501709693</v>
      </c>
      <c r="E66" s="335">
        <v>9</v>
      </c>
      <c r="F66" s="335">
        <v>87252.347680000894</v>
      </c>
    </row>
    <row r="67" spans="1:6">
      <c r="A67" s="1296" t="s">
        <v>56</v>
      </c>
      <c r="B67" s="1296" t="s">
        <v>59</v>
      </c>
      <c r="C67" s="335">
        <v>0</v>
      </c>
      <c r="D67" s="335">
        <v>0</v>
      </c>
      <c r="E67" s="335">
        <v>0</v>
      </c>
      <c r="F67" s="335">
        <v>0</v>
      </c>
    </row>
    <row r="68" spans="1:6">
      <c r="A68" s="1291" t="s">
        <v>56</v>
      </c>
      <c r="B68" s="1291" t="s">
        <v>60</v>
      </c>
      <c r="C68" s="335">
        <v>15</v>
      </c>
      <c r="D68" s="335">
        <v>505257.91199791903</v>
      </c>
      <c r="E68" s="335">
        <v>69</v>
      </c>
      <c r="F68" s="335">
        <v>1595703.90296925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547319182</v>
      </c>
      <c r="E73" s="335">
        <v>578366420.49628794</v>
      </c>
    </row>
    <row r="74" spans="1:6">
      <c r="A74" s="1295" t="s">
        <v>64</v>
      </c>
      <c r="B74" s="1295" t="s">
        <v>727</v>
      </c>
      <c r="C74" s="1295" t="s">
        <v>728</v>
      </c>
      <c r="D74" s="335">
        <v>55801486.119294867</v>
      </c>
      <c r="E74" s="335">
        <v>56381732.594612494</v>
      </c>
    </row>
    <row r="75" spans="1:6">
      <c r="A75" s="1295" t="s">
        <v>65</v>
      </c>
      <c r="B75" s="1295" t="s">
        <v>725</v>
      </c>
      <c r="C75" s="1295" t="s">
        <v>729</v>
      </c>
      <c r="D75" s="335">
        <v>144545746</v>
      </c>
      <c r="E75" s="335">
        <v>156209294.93094966</v>
      </c>
    </row>
    <row r="76" spans="1:6">
      <c r="A76" s="1295" t="s">
        <v>65</v>
      </c>
      <c r="B76" s="1295" t="s">
        <v>727</v>
      </c>
      <c r="C76" s="1295" t="s">
        <v>730</v>
      </c>
      <c r="D76" s="335">
        <v>5855660.1192948632</v>
      </c>
      <c r="E76" s="335">
        <v>5961095.4834503606</v>
      </c>
    </row>
    <row r="77" spans="1:6">
      <c r="A77" s="1295" t="s">
        <v>66</v>
      </c>
      <c r="B77" s="1295" t="s">
        <v>725</v>
      </c>
      <c r="C77" s="1295" t="s">
        <v>731</v>
      </c>
      <c r="D77" s="335">
        <v>82436381</v>
      </c>
      <c r="E77" s="335">
        <v>97773621.040989205</v>
      </c>
    </row>
    <row r="78" spans="1:6">
      <c r="A78" s="1291" t="s">
        <v>66</v>
      </c>
      <c r="B78" s="1291" t="s">
        <v>727</v>
      </c>
      <c r="C78" s="1291" t="s">
        <v>732</v>
      </c>
      <c r="D78" s="1291">
        <v>13269797</v>
      </c>
      <c r="E78" s="1291">
        <v>15216620.008963902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6249243.7614102727</v>
      </c>
      <c r="C83" s="335">
        <v>6286526.8349179998</v>
      </c>
    </row>
    <row r="84" spans="1:6">
      <c r="A84" s="1291" t="s">
        <v>337</v>
      </c>
      <c r="B84" s="338">
        <v>228117.9270337699</v>
      </c>
      <c r="C84" s="338">
        <v>234443.89398521619</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61829.19298</v>
      </c>
    </row>
    <row r="91" spans="1:6">
      <c r="A91" s="1295" t="s">
        <v>68</v>
      </c>
      <c r="B91" s="335">
        <v>11384.29</v>
      </c>
    </row>
    <row r="92" spans="1:6">
      <c r="A92" s="1291" t="s">
        <v>69</v>
      </c>
      <c r="B92" s="338">
        <v>17608.830000000002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33975</v>
      </c>
    </row>
    <row r="98" spans="1:6">
      <c r="A98" s="1295" t="s">
        <v>72</v>
      </c>
      <c r="B98" s="335">
        <v>8</v>
      </c>
    </row>
    <row r="99" spans="1:6">
      <c r="A99" s="1295" t="s">
        <v>73</v>
      </c>
      <c r="B99" s="335">
        <v>191</v>
      </c>
    </row>
    <row r="100" spans="1:6">
      <c r="A100" s="1295" t="s">
        <v>74</v>
      </c>
      <c r="B100" s="335">
        <v>3941</v>
      </c>
    </row>
    <row r="101" spans="1:6">
      <c r="A101" s="1295" t="s">
        <v>75</v>
      </c>
      <c r="B101" s="335">
        <v>356</v>
      </c>
    </row>
    <row r="102" spans="1:6">
      <c r="A102" s="1295" t="s">
        <v>76</v>
      </c>
      <c r="B102" s="335">
        <v>1147</v>
      </c>
    </row>
    <row r="103" spans="1:6">
      <c r="A103" s="1295" t="s">
        <v>77</v>
      </c>
      <c r="B103" s="335">
        <v>613</v>
      </c>
    </row>
    <row r="104" spans="1:6">
      <c r="A104" s="1295" t="s">
        <v>78</v>
      </c>
      <c r="B104" s="335">
        <v>8219</v>
      </c>
    </row>
    <row r="105" spans="1:6">
      <c r="A105" s="1291" t="s">
        <v>79</v>
      </c>
      <c r="B105" s="1291">
        <v>33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3</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25</v>
      </c>
      <c r="C123" s="335">
        <v>54</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398</v>
      </c>
    </row>
    <row r="130" spans="1:6">
      <c r="A130" s="1295" t="s">
        <v>295</v>
      </c>
      <c r="B130" s="335">
        <v>8</v>
      </c>
    </row>
    <row r="131" spans="1:6">
      <c r="A131" s="1295" t="s">
        <v>296</v>
      </c>
      <c r="B131" s="335">
        <v>16</v>
      </c>
    </row>
    <row r="132" spans="1:6">
      <c r="A132" s="1291" t="s">
        <v>297</v>
      </c>
      <c r="B132" s="338">
        <v>14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666833.46916648687</v>
      </c>
      <c r="C3" s="43" t="s">
        <v>170</v>
      </c>
      <c r="D3" s="43"/>
      <c r="E3" s="156"/>
      <c r="F3" s="43"/>
      <c r="G3" s="43"/>
      <c r="H3" s="43"/>
      <c r="I3" s="43"/>
      <c r="J3" s="43"/>
      <c r="K3" s="96"/>
    </row>
    <row r="4" spans="1:11">
      <c r="A4" s="366" t="s">
        <v>171</v>
      </c>
      <c r="B4" s="49">
        <f>IF(ISERROR('SEAP template'!B78+'SEAP template'!C78),0,'SEAP template'!B78+'SEAP template'!C78)</f>
        <v>90847.437980000002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5.8547011813759555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0.19090038739734067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12.108870247195473</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51.964285714285715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0.23302293259207782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8394.6370000000006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8394.6370000000006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0.19090038739734067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1602.5394553600497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190019.6012668178</v>
      </c>
      <c r="C5" s="17">
        <f>IF(ISERROR('Eigen informatie GS &amp; warmtenet'!B57),0,'Eigen informatie GS &amp; warmtenet'!B57)</f>
        <v>0</v>
      </c>
      <c r="D5" s="30">
        <f>(SUM(HH_hh_gas_kWh,HH_rest_gas_kWh)/1000)*0.902</f>
        <v>681451.35783511982</v>
      </c>
      <c r="E5" s="17">
        <f>B46*B57</f>
        <v>8053.1176220836742</v>
      </c>
      <c r="F5" s="17">
        <f>B51*B62</f>
        <v>0</v>
      </c>
      <c r="G5" s="18"/>
      <c r="H5" s="17"/>
      <c r="I5" s="17"/>
      <c r="J5" s="17">
        <f>B50*B61+C50*C61</f>
        <v>0</v>
      </c>
      <c r="K5" s="17"/>
      <c r="L5" s="17"/>
      <c r="M5" s="17"/>
      <c r="N5" s="17">
        <f>B48*B59+C48*C59</f>
        <v>56271.397386116863</v>
      </c>
      <c r="O5" s="17">
        <f>B69*B70*B71</f>
        <v>708.19</v>
      </c>
      <c r="P5" s="17">
        <f>B77*B78*B79/1000-B77*B78*B79/1000/B80</f>
        <v>762.66666666666674</v>
      </c>
    </row>
    <row r="6" spans="1:16">
      <c r="A6" s="16" t="s">
        <v>634</v>
      </c>
      <c r="B6" s="783">
        <f>kWh_PV_kleiner_dan_10kW</f>
        <v>11384.29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201403.89126681781</v>
      </c>
      <c r="C8" s="21">
        <f>C5</f>
        <v>0</v>
      </c>
      <c r="D8" s="21">
        <f>D5</f>
        <v>681451.35783511982</v>
      </c>
      <c r="E8" s="21">
        <f>E5</f>
        <v>8053.1176220836742</v>
      </c>
      <c r="F8" s="21">
        <f>F5</f>
        <v>0</v>
      </c>
      <c r="G8" s="21"/>
      <c r="H8" s="21"/>
      <c r="I8" s="21"/>
      <c r="J8" s="21">
        <f>J5</f>
        <v>0</v>
      </c>
      <c r="K8" s="21"/>
      <c r="L8" s="21">
        <f>L5</f>
        <v>0</v>
      </c>
      <c r="M8" s="21">
        <f>M5</f>
        <v>0</v>
      </c>
      <c r="N8" s="21">
        <f>N5</f>
        <v>56271.397386116863</v>
      </c>
      <c r="O8" s="21">
        <f>O5</f>
        <v>708.19</v>
      </c>
      <c r="P8" s="21">
        <f>P5</f>
        <v>762.66666666666674</v>
      </c>
    </row>
    <row r="9" spans="1:16">
      <c r="B9" s="19"/>
      <c r="C9" s="19"/>
      <c r="D9" s="261"/>
      <c r="E9" s="19"/>
      <c r="F9" s="19"/>
      <c r="G9" s="19"/>
      <c r="H9" s="19"/>
      <c r="I9" s="19"/>
      <c r="J9" s="19"/>
      <c r="K9" s="19"/>
      <c r="L9" s="19"/>
      <c r="M9" s="19"/>
      <c r="N9" s="19"/>
      <c r="O9" s="19"/>
      <c r="P9" s="19"/>
    </row>
    <row r="10" spans="1:16">
      <c r="A10" s="24" t="s">
        <v>214</v>
      </c>
      <c r="B10" s="25">
        <f ca="1">'EF ele_warmte'!B12</f>
        <v>0.19090038739734067</v>
      </c>
      <c r="C10" s="25">
        <f ca="1">'EF ele_warmte'!B22</f>
        <v>0.23302293259207782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38448.080866167395</v>
      </c>
      <c r="C12" s="23">
        <f ca="1">C10*C8</f>
        <v>0</v>
      </c>
      <c r="D12" s="23">
        <f>D8*D10</f>
        <v>137653.17428269421</v>
      </c>
      <c r="E12" s="23">
        <f>E10*E8</f>
        <v>1828.0577002129942</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33975</v>
      </c>
      <c r="C18" s="168" t="s">
        <v>111</v>
      </c>
      <c r="D18" s="230"/>
      <c r="E18" s="15"/>
    </row>
    <row r="19" spans="1:7">
      <c r="A19" s="173" t="s">
        <v>72</v>
      </c>
      <c r="B19" s="37">
        <f>aantalw2001_ander</f>
        <v>8</v>
      </c>
      <c r="C19" s="168" t="s">
        <v>111</v>
      </c>
      <c r="D19" s="231"/>
      <c r="E19" s="15"/>
    </row>
    <row r="20" spans="1:7">
      <c r="A20" s="173" t="s">
        <v>73</v>
      </c>
      <c r="B20" s="37">
        <f>aantalw2001_propaan</f>
        <v>191</v>
      </c>
      <c r="C20" s="169">
        <f>IF(ISERROR(B20/SUM($B$20,$B$21,$B$22)*100),0,B20/SUM($B$20,$B$21,$B$22)*100)</f>
        <v>4.2557932263814617</v>
      </c>
      <c r="D20" s="231"/>
      <c r="E20" s="15"/>
    </row>
    <row r="21" spans="1:7">
      <c r="A21" s="173" t="s">
        <v>74</v>
      </c>
      <c r="B21" s="37">
        <f>aantalw2001_elektriciteit</f>
        <v>3941</v>
      </c>
      <c r="C21" s="169">
        <f>IF(ISERROR(B21/SUM($B$20,$B$21,$B$22)*100),0,B21/SUM($B$20,$B$21,$B$22)*100)</f>
        <v>87.811942959001783</v>
      </c>
      <c r="D21" s="231"/>
      <c r="E21" s="15"/>
    </row>
    <row r="22" spans="1:7">
      <c r="A22" s="173" t="s">
        <v>75</v>
      </c>
      <c r="B22" s="37">
        <f>aantalw2001_hout</f>
        <v>356</v>
      </c>
      <c r="C22" s="169">
        <f>IF(ISERROR(B22/SUM($B$20,$B$21,$B$22)*100),0,B22/SUM($B$20,$B$21,$B$22)*100)</f>
        <v>7.9322638146167552</v>
      </c>
      <c r="D22" s="231"/>
      <c r="E22" s="15"/>
    </row>
    <row r="23" spans="1:7">
      <c r="A23" s="173" t="s">
        <v>76</v>
      </c>
      <c r="B23" s="37">
        <f>aantalw2001_niet_gespec</f>
        <v>1147</v>
      </c>
      <c r="C23" s="168" t="s">
        <v>111</v>
      </c>
      <c r="D23" s="230"/>
      <c r="E23" s="15"/>
    </row>
    <row r="24" spans="1:7">
      <c r="A24" s="173" t="s">
        <v>77</v>
      </c>
      <c r="B24" s="37">
        <f>aantalw2001_steenkool</f>
        <v>613</v>
      </c>
      <c r="C24" s="168" t="s">
        <v>111</v>
      </c>
      <c r="D24" s="231"/>
      <c r="E24" s="15"/>
    </row>
    <row r="25" spans="1:7">
      <c r="A25" s="173" t="s">
        <v>78</v>
      </c>
      <c r="B25" s="37">
        <f>aantalw2001_stookolie</f>
        <v>8219</v>
      </c>
      <c r="C25" s="168" t="s">
        <v>111</v>
      </c>
      <c r="D25" s="230"/>
      <c r="E25" s="52"/>
    </row>
    <row r="26" spans="1:7">
      <c r="A26" s="173" t="s">
        <v>79</v>
      </c>
      <c r="B26" s="37">
        <f>aantalw2001_WP</f>
        <v>33</v>
      </c>
      <c r="C26" s="168" t="s">
        <v>111</v>
      </c>
      <c r="D26" s="230"/>
      <c r="E26" s="15"/>
    </row>
    <row r="27" spans="1:7" s="15" customFormat="1">
      <c r="A27" s="173"/>
      <c r="B27" s="29"/>
      <c r="C27" s="36"/>
      <c r="D27" s="230"/>
    </row>
    <row r="28" spans="1:7" s="15" customFormat="1">
      <c r="A28" s="232" t="s">
        <v>745</v>
      </c>
      <c r="B28" s="37">
        <f>aantalHuishoudens2011</f>
        <v>52776</v>
      </c>
      <c r="C28" s="36"/>
      <c r="D28" s="230"/>
    </row>
    <row r="29" spans="1:7" s="15" customFormat="1">
      <c r="A29" s="232" t="s">
        <v>746</v>
      </c>
      <c r="B29" s="37">
        <f>SUM(HH_hh_gas_aantal,HH_rest_gas_aantal)</f>
        <v>43655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43655</v>
      </c>
      <c r="C32" s="169">
        <f>IF(ISERROR(B32/SUM($B$32,$B$34,$B$35,$B$36,$B$38,$B$39)*100),0,B32/SUM($B$32,$B$34,$B$35,$B$36,$B$38,$B$39)*100)</f>
        <v>82.780263956310691</v>
      </c>
      <c r="D32" s="235"/>
      <c r="G32" s="15"/>
    </row>
    <row r="33" spans="1:7">
      <c r="A33" s="173" t="s">
        <v>72</v>
      </c>
      <c r="B33" s="34" t="s">
        <v>111</v>
      </c>
      <c r="C33" s="169"/>
      <c r="D33" s="235"/>
      <c r="G33" s="15"/>
    </row>
    <row r="34" spans="1:7">
      <c r="A34" s="173" t="s">
        <v>73</v>
      </c>
      <c r="B34" s="33">
        <f>IF((($B$28-$B$32-$B$39-$B$77-$B$38)*C20/100)&lt;0,0,($B$28-$B$32-$B$39-$B$77-$B$38)*C20/100)</f>
        <v>386.46858288770056</v>
      </c>
      <c r="C34" s="169">
        <f>IF(ISERROR(B34/SUM($B$32,$B$34,$B$35,$B$36,$B$38,$B$39)*100),0,B34/SUM($B$32,$B$34,$B$35,$B$36,$B$38,$B$39)*100)</f>
        <v>0.73283636014809728</v>
      </c>
      <c r="D34" s="235"/>
      <c r="G34" s="15"/>
    </row>
    <row r="35" spans="1:7">
      <c r="A35" s="173" t="s">
        <v>74</v>
      </c>
      <c r="B35" s="33">
        <f>IF((($B$28-$B$32-$B$39-$B$77-$B$38)*C21/100)&lt;0,0,($B$28-$B$32-$B$39-$B$77-$B$38)*C21/100)</f>
        <v>7974.2025401069513</v>
      </c>
      <c r="C35" s="169">
        <f>IF(ISERROR(B35/SUM($B$32,$B$34,$B$35,$B$36,$B$38,$B$39)*100),0,B35/SUM($B$32,$B$34,$B$35,$B$36,$B$38,$B$39)*100)</f>
        <v>15.120984792375136</v>
      </c>
      <c r="D35" s="235"/>
      <c r="G35" s="15"/>
    </row>
    <row r="36" spans="1:7">
      <c r="A36" s="173" t="s">
        <v>75</v>
      </c>
      <c r="B36" s="33">
        <f>IF((($B$28-$B$32-$B$39-$B$77-$B$38)*C22/100)&lt;0,0,($B$28-$B$32-$B$39-$B$77-$B$38)*C22/100)</f>
        <v>720.32887700534764</v>
      </c>
      <c r="C36" s="169">
        <f>IF(ISERROR(B36/SUM($B$32,$B$34,$B$35,$B$36,$B$38,$B$39)*100),0,B36/SUM($B$32,$B$34,$B$35,$B$36,$B$38,$B$39)*100)</f>
        <v>1.365914891166087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43655</v>
      </c>
      <c r="C44" s="34" t="s">
        <v>111</v>
      </c>
      <c r="D44" s="176"/>
    </row>
    <row r="45" spans="1:7">
      <c r="A45" s="173" t="s">
        <v>72</v>
      </c>
      <c r="B45" s="33" t="str">
        <f t="shared" si="0"/>
        <v>-</v>
      </c>
      <c r="C45" s="34" t="s">
        <v>111</v>
      </c>
      <c r="D45" s="176"/>
    </row>
    <row r="46" spans="1:7">
      <c r="A46" s="173" t="s">
        <v>73</v>
      </c>
      <c r="B46" s="33">
        <f t="shared" si="0"/>
        <v>386.46858288770056</v>
      </c>
      <c r="C46" s="34" t="s">
        <v>111</v>
      </c>
      <c r="D46" s="176"/>
    </row>
    <row r="47" spans="1:7">
      <c r="A47" s="173" t="s">
        <v>74</v>
      </c>
      <c r="B47" s="33">
        <f t="shared" si="0"/>
        <v>7974.2025401069513</v>
      </c>
      <c r="C47" s="34" t="s">
        <v>111</v>
      </c>
      <c r="D47" s="176"/>
    </row>
    <row r="48" spans="1:7">
      <c r="A48" s="173" t="s">
        <v>75</v>
      </c>
      <c r="B48" s="33">
        <f t="shared" si="0"/>
        <v>720.32887700534764</v>
      </c>
      <c r="C48" s="33">
        <f>B48*10</f>
        <v>7203.2887700534766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453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326134.77244173241</v>
      </c>
      <c r="C5" s="17">
        <f>IF(ISERROR('Eigen informatie GS &amp; warmtenet'!B58),0,'Eigen informatie GS &amp; warmtenet'!B58)</f>
        <v>0</v>
      </c>
      <c r="D5" s="30">
        <f>SUM(D6:D12)</f>
        <v>404569.84003354947</v>
      </c>
      <c r="E5" s="17">
        <f>SUM(E6:E12)</f>
        <v>4701.3681515960989</v>
      </c>
      <c r="F5" s="17">
        <f>SUM(F6:F12)</f>
        <v>65245.633006832242</v>
      </c>
      <c r="G5" s="18"/>
      <c r="H5" s="17"/>
      <c r="I5" s="17"/>
      <c r="J5" s="17">
        <f>SUM(J6:J12)</f>
        <v>0</v>
      </c>
      <c r="K5" s="17"/>
      <c r="L5" s="17"/>
      <c r="M5" s="17"/>
      <c r="N5" s="17">
        <f>SUM(N6:N12)</f>
        <v>23918.628542694994</v>
      </c>
      <c r="O5" s="17">
        <f>B38*B39*B40</f>
        <v>12.506666666666668</v>
      </c>
      <c r="P5" s="17">
        <f>B46*B47*B48/1000-B46*B47*B48/1000/B49</f>
        <v>305.06666666666666</v>
      </c>
      <c r="R5" s="32"/>
    </row>
    <row r="6" spans="1:18">
      <c r="A6" s="32" t="s">
        <v>54</v>
      </c>
      <c r="B6" s="37">
        <f>B26</f>
        <v>111931.716766281</v>
      </c>
      <c r="C6" s="33"/>
      <c r="D6" s="37">
        <f>IF(ISERROR(TER_kantoor_gas_kWh/1000),0,TER_kantoor_gas_kWh/1000)*0.902</f>
        <v>122182.37291906212</v>
      </c>
      <c r="E6" s="33">
        <f>$C$26*'E Balans VL '!I12/100/3.6*1000000</f>
        <v>434.87841696216202</v>
      </c>
      <c r="F6" s="33">
        <f>$C$26*('E Balans VL '!L12+'E Balans VL '!N12)/100/3.6*1000000</f>
        <v>17023.795622730428</v>
      </c>
      <c r="G6" s="34"/>
      <c r="H6" s="33"/>
      <c r="I6" s="33"/>
      <c r="J6" s="33">
        <f>$C$26*('E Balans VL '!D12+'E Balans VL '!E12)/100/3.6*1000000</f>
        <v>0</v>
      </c>
      <c r="K6" s="33"/>
      <c r="L6" s="33"/>
      <c r="M6" s="33"/>
      <c r="N6" s="33">
        <f>$C$26*'E Balans VL '!Y12/100/3.6*1000000</f>
        <v>61.687785027664546</v>
      </c>
      <c r="O6" s="33"/>
      <c r="P6" s="33"/>
      <c r="R6" s="32"/>
    </row>
    <row r="7" spans="1:18">
      <c r="A7" s="32" t="s">
        <v>53</v>
      </c>
      <c r="B7" s="37">
        <f t="shared" ref="B7:B12" si="0">B27</f>
        <v>48499.052807636603</v>
      </c>
      <c r="C7" s="33"/>
      <c r="D7" s="37">
        <f>IF(ISERROR(TER_horeca_gas_kWh/1000),0,TER_horeca_gas_kWh/1000)*0.902</f>
        <v>76983.713766865214</v>
      </c>
      <c r="E7" s="33">
        <f>$C$27*'E Balans VL '!I9/100/3.6*1000000</f>
        <v>2731.9646111525685</v>
      </c>
      <c r="F7" s="33">
        <f>$C$27*('E Balans VL '!L9+'E Balans VL '!N9)/100/3.6*1000000</f>
        <v>13984.223250704454</v>
      </c>
      <c r="G7" s="34"/>
      <c r="H7" s="33"/>
      <c r="I7" s="33"/>
      <c r="J7" s="33">
        <f>$C$27*('E Balans VL '!D9+'E Balans VL '!E9)/100/3.6*1000000</f>
        <v>0</v>
      </c>
      <c r="K7" s="33"/>
      <c r="L7" s="33"/>
      <c r="M7" s="33"/>
      <c r="N7" s="33">
        <f>$C$27*'E Balans VL '!Y9/100/3.6*1000000</f>
        <v>13.390336455397836</v>
      </c>
      <c r="O7" s="33"/>
      <c r="P7" s="33"/>
      <c r="R7" s="32"/>
    </row>
    <row r="8" spans="1:18">
      <c r="A8" s="6" t="s">
        <v>52</v>
      </c>
      <c r="B8" s="37">
        <f t="shared" si="0"/>
        <v>77572.779366189105</v>
      </c>
      <c r="C8" s="33"/>
      <c r="D8" s="37">
        <f>IF(ISERROR(TER_handel_gas_kWh/1000),0,TER_handel_gas_kWh/1000)*0.902</f>
        <v>51171.231326099754</v>
      </c>
      <c r="E8" s="33">
        <f>$C$28*'E Balans VL '!I13/100/3.6*1000000</f>
        <v>1118.0869289273392</v>
      </c>
      <c r="F8" s="33">
        <f>$C$28*('E Balans VL '!L13+'E Balans VL '!N13)/100/3.6*1000000</f>
        <v>13476.198324034691</v>
      </c>
      <c r="G8" s="34"/>
      <c r="H8" s="33"/>
      <c r="I8" s="33"/>
      <c r="J8" s="33">
        <f>$C$28*('E Balans VL '!D13+'E Balans VL '!E13)/100/3.6*1000000</f>
        <v>0</v>
      </c>
      <c r="K8" s="33"/>
      <c r="L8" s="33"/>
      <c r="M8" s="33"/>
      <c r="N8" s="33">
        <f>$C$28*'E Balans VL '!Y13/100/3.6*1000000</f>
        <v>232.41668256079589</v>
      </c>
      <c r="O8" s="33"/>
      <c r="P8" s="33"/>
      <c r="R8" s="32"/>
    </row>
    <row r="9" spans="1:18">
      <c r="A9" s="32" t="s">
        <v>51</v>
      </c>
      <c r="B9" s="37">
        <f t="shared" si="0"/>
        <v>29932.998049075301</v>
      </c>
      <c r="C9" s="33"/>
      <c r="D9" s="37">
        <f>IF(ISERROR(TER_gezond_gas_kWh/1000),0,TER_gezond_gas_kWh/1000)*0.902</f>
        <v>42817.781292988155</v>
      </c>
      <c r="E9" s="33">
        <f>$C$29*'E Balans VL '!I10/100/3.6*1000000</f>
        <v>31.976200264590432</v>
      </c>
      <c r="F9" s="33">
        <f>$C$29*('E Balans VL '!L10+'E Balans VL '!N10)/100/3.6*1000000</f>
        <v>4882.9816797515268</v>
      </c>
      <c r="G9" s="34"/>
      <c r="H9" s="33"/>
      <c r="I9" s="33"/>
      <c r="J9" s="33">
        <f>$C$29*('E Balans VL '!D10+'E Balans VL '!E10)/100/3.6*1000000</f>
        <v>0</v>
      </c>
      <c r="K9" s="33"/>
      <c r="L9" s="33"/>
      <c r="M9" s="33"/>
      <c r="N9" s="33">
        <f>$C$29*'E Balans VL '!Y10/100/3.6*1000000</f>
        <v>308.14313548728325</v>
      </c>
      <c r="O9" s="33"/>
      <c r="P9" s="33"/>
      <c r="R9" s="32"/>
    </row>
    <row r="10" spans="1:18">
      <c r="A10" s="32" t="s">
        <v>50</v>
      </c>
      <c r="B10" s="37">
        <f t="shared" si="0"/>
        <v>31282.908945908199</v>
      </c>
      <c r="C10" s="33"/>
      <c r="D10" s="37">
        <f>IF(ISERROR(TER_ander_gas_kWh/1000),0,TER_ander_gas_kWh/1000)*0.902</f>
        <v>52052.921016674387</v>
      </c>
      <c r="E10" s="33">
        <f>$C$30*'E Balans VL '!I14/100/3.6*1000000</f>
        <v>143.86533975854161</v>
      </c>
      <c r="F10" s="33">
        <f>$C$30*('E Balans VL '!L14+'E Balans VL '!N14)/100/3.6*1000000</f>
        <v>9376.4745627243974</v>
      </c>
      <c r="G10" s="34"/>
      <c r="H10" s="33"/>
      <c r="I10" s="33"/>
      <c r="J10" s="33">
        <f>$C$30*('E Balans VL '!D14+'E Balans VL '!E14)/100/3.6*1000000</f>
        <v>0</v>
      </c>
      <c r="K10" s="33"/>
      <c r="L10" s="33"/>
      <c r="M10" s="33"/>
      <c r="N10" s="33">
        <f>$C$30*'E Balans VL '!Y14/100/3.6*1000000</f>
        <v>21774.969635218346</v>
      </c>
      <c r="O10" s="33"/>
      <c r="P10" s="33"/>
      <c r="R10" s="32"/>
    </row>
    <row r="11" spans="1:18">
      <c r="A11" s="32" t="s">
        <v>55</v>
      </c>
      <c r="B11" s="37">
        <f t="shared" si="0"/>
        <v>7665.9293096556303</v>
      </c>
      <c r="C11" s="33"/>
      <c r="D11" s="37">
        <f>IF(ISERROR(TER_onderwijs_gas_kWh/1000),0,TER_onderwijs_gas_kWh/1000)*0.902</f>
        <v>21292.517354096573</v>
      </c>
      <c r="E11" s="33">
        <f>$C$31*'E Balans VL '!I11/100/3.6*1000000</f>
        <v>7.1111575717030568</v>
      </c>
      <c r="F11" s="33">
        <f>$C$31*('E Balans VL '!L11+'E Balans VL '!N11)/100/3.6*1000000</f>
        <v>2692.8647777641413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19249.387196986601</v>
      </c>
      <c r="C12" s="33"/>
      <c r="D12" s="37">
        <f>IF(ISERROR(TER_rest_gas_kWh/1000),0,TER_rest_gas_kWh/1000)*0.902</f>
        <v>38069.302357763292</v>
      </c>
      <c r="E12" s="33">
        <f>$C$32*'E Balans VL '!I8/100/3.6*1000000</f>
        <v>233.48549695919394</v>
      </c>
      <c r="F12" s="33">
        <f>$C$32*('E Balans VL '!L8+'E Balans VL '!N8)/100/3.6*1000000</f>
        <v>3809.0947891226047</v>
      </c>
      <c r="G12" s="34"/>
      <c r="H12" s="33"/>
      <c r="I12" s="33"/>
      <c r="J12" s="33">
        <f>$C$32*('E Balans VL '!D8+'E Balans VL '!E8)/100/3.6*1000000</f>
        <v>0</v>
      </c>
      <c r="K12" s="33"/>
      <c r="L12" s="33"/>
      <c r="M12" s="33"/>
      <c r="N12" s="33">
        <f>$C$32*'E Balans VL '!Y8/100/3.6*1000000</f>
        <v>1528.0209679455072</v>
      </c>
      <c r="O12" s="33"/>
      <c r="P12" s="33"/>
      <c r="R12" s="32"/>
    </row>
    <row r="13" spans="1:18">
      <c r="A13" s="16" t="s">
        <v>497</v>
      </c>
      <c r="B13" s="249">
        <f ca="1">'lokale energieproductie'!N91+'lokale energieproductie'!N60</f>
        <v>4.5</v>
      </c>
      <c r="C13" s="249">
        <f ca="1">'lokale energieproductie'!O91+'lokale energieproductie'!O60</f>
        <v>22.5</v>
      </c>
      <c r="D13" s="312">
        <f ca="1">('lokale energieproductie'!P60+'lokale energieproductie'!P91)*(-1)</f>
        <v>-30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326139.27244173241</v>
      </c>
      <c r="C16" s="21">
        <f t="shared" ca="1" si="1"/>
        <v>22.5</v>
      </c>
      <c r="D16" s="21">
        <f t="shared" ca="1" si="1"/>
        <v>404539.84003354947</v>
      </c>
      <c r="E16" s="21">
        <f t="shared" si="1"/>
        <v>4701.3681515960989</v>
      </c>
      <c r="F16" s="21">
        <f t="shared" ca="1" si="1"/>
        <v>65245.633006832242</v>
      </c>
      <c r="G16" s="21">
        <f t="shared" si="1"/>
        <v>0</v>
      </c>
      <c r="H16" s="21">
        <f t="shared" si="1"/>
        <v>0</v>
      </c>
      <c r="I16" s="21">
        <f t="shared" si="1"/>
        <v>0</v>
      </c>
      <c r="J16" s="21">
        <f t="shared" si="1"/>
        <v>0</v>
      </c>
      <c r="K16" s="21">
        <f t="shared" si="1"/>
        <v>0</v>
      </c>
      <c r="L16" s="21">
        <f t="shared" ca="1" si="1"/>
        <v>0</v>
      </c>
      <c r="M16" s="21">
        <f t="shared" si="1"/>
        <v>0</v>
      </c>
      <c r="N16" s="21">
        <f t="shared" ca="1" si="1"/>
        <v>23918.628542694994</v>
      </c>
      <c r="O16" s="21">
        <f>O5</f>
        <v>12.506666666666668</v>
      </c>
      <c r="P16" s="21">
        <f>P5</f>
        <v>305.06666666666666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0.19090038739734067</v>
      </c>
      <c r="C18" s="25">
        <f ca="1">'EF ele_warmte'!B22</f>
        <v>0.23302293259207782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62260.113454613544</v>
      </c>
      <c r="C20" s="23">
        <f t="shared" ref="C20:P20" ca="1" si="2">C16*C18</f>
        <v>5.2430159833217509</v>
      </c>
      <c r="D20" s="23">
        <f t="shared" ca="1" si="2"/>
        <v>81717.04768677699</v>
      </c>
      <c r="E20" s="23">
        <f t="shared" si="2"/>
        <v>1067.2105704123144</v>
      </c>
      <c r="F20" s="23">
        <f t="shared" ca="1" si="2"/>
        <v>17420.584012824209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111931.716766281</v>
      </c>
      <c r="C26" s="39">
        <f>IF(ISERROR(B26*3.6/1000000/'E Balans VL '!Z12*100),0,B26*3.6/1000000/'E Balans VL '!Z12*100)</f>
        <v>2.3774851078807036</v>
      </c>
      <c r="D26" s="239" t="s">
        <v>692</v>
      </c>
      <c r="F26" s="6"/>
    </row>
    <row r="27" spans="1:18">
      <c r="A27" s="233" t="s">
        <v>53</v>
      </c>
      <c r="B27" s="33">
        <f>IF(ISERROR(TER_horeca_ele_kWh/1000),0,TER_horeca_ele_kWh/1000)</f>
        <v>48499.052807636603</v>
      </c>
      <c r="C27" s="39">
        <f>IF(ISERROR(B27*3.6/1000000/'E Balans VL '!Z9*100),0,B27*3.6/1000000/'E Balans VL '!Z9*100)</f>
        <v>3.7710967188226157</v>
      </c>
      <c r="D27" s="239" t="s">
        <v>692</v>
      </c>
      <c r="F27" s="6"/>
    </row>
    <row r="28" spans="1:18">
      <c r="A28" s="173" t="s">
        <v>52</v>
      </c>
      <c r="B28" s="33">
        <f>IF(ISERROR(TER_handel_ele_kWh/1000),0,TER_handel_ele_kWh/1000)</f>
        <v>77572.779366189105</v>
      </c>
      <c r="C28" s="39">
        <f>IF(ISERROR(B28*3.6/1000000/'E Balans VL '!Z13*100),0,B28*3.6/1000000/'E Balans VL '!Z13*100)</f>
        <v>2.2194485116953788</v>
      </c>
      <c r="D28" s="239" t="s">
        <v>692</v>
      </c>
      <c r="F28" s="6"/>
    </row>
    <row r="29" spans="1:18">
      <c r="A29" s="233" t="s">
        <v>51</v>
      </c>
      <c r="B29" s="33">
        <f>IF(ISERROR(TER_gezond_ele_kWh/1000),0,TER_gezond_ele_kWh/1000)</f>
        <v>29932.998049075301</v>
      </c>
      <c r="C29" s="39">
        <f>IF(ISERROR(B29*3.6/1000000/'E Balans VL '!Z10*100),0,B29*3.6/1000000/'E Balans VL '!Z10*100)</f>
        <v>3.263392346804153</v>
      </c>
      <c r="D29" s="239" t="s">
        <v>692</v>
      </c>
      <c r="F29" s="6"/>
    </row>
    <row r="30" spans="1:18">
      <c r="A30" s="233" t="s">
        <v>50</v>
      </c>
      <c r="B30" s="33">
        <f>IF(ISERROR(TER_ander_ele_kWh/1000),0,TER_ander_ele_kWh/1000)</f>
        <v>31282.908945908199</v>
      </c>
      <c r="C30" s="39">
        <f>IF(ISERROR(B30*3.6/1000000/'E Balans VL '!Z14*100),0,B30*3.6/1000000/'E Balans VL '!Z14*100)</f>
        <v>2.2892123130648421</v>
      </c>
      <c r="D30" s="239" t="s">
        <v>692</v>
      </c>
      <c r="F30" s="6"/>
    </row>
    <row r="31" spans="1:18">
      <c r="A31" s="233" t="s">
        <v>55</v>
      </c>
      <c r="B31" s="33">
        <f>IF(ISERROR(TER_onderwijs_ele_kWh/1000),0,TER_onderwijs_ele_kWh/1000)</f>
        <v>7665.9293096556303</v>
      </c>
      <c r="C31" s="39">
        <f>IF(ISERROR(B31*3.6/1000000/'E Balans VL '!Z11*100),0,B31*3.6/1000000/'E Balans VL '!Z11*100)</f>
        <v>1.5397075944064667</v>
      </c>
      <c r="D31" s="239" t="s">
        <v>692</v>
      </c>
    </row>
    <row r="32" spans="1:18">
      <c r="A32" s="233" t="s">
        <v>260</v>
      </c>
      <c r="B32" s="33">
        <f>IF(ISERROR(TER_rest_ele_kWh/1000),0,TER_rest_ele_kWh/1000)</f>
        <v>19249.387196986601</v>
      </c>
      <c r="C32" s="39">
        <f>IF(ISERROR(B32*3.6/1000000/'E Balans VL '!Z8*100),0,B32*3.6/1000000/'E Balans VL '!Z8*100)</f>
        <v>0.15687082379589681</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8</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16</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109553.19323995235</v>
      </c>
      <c r="C5" s="17">
        <f>IF(ISERROR('Eigen informatie GS &amp; warmtenet'!B59),0,'Eigen informatie GS &amp; warmtenet'!B59)</f>
        <v>0</v>
      </c>
      <c r="D5" s="30">
        <f>SUM(D6:D15)</f>
        <v>186802.79025488469</v>
      </c>
      <c r="E5" s="17">
        <f>SUM(E6:E15)</f>
        <v>9357.406174126907</v>
      </c>
      <c r="F5" s="17">
        <f>SUM(F6:F15)</f>
        <v>57665.085629977337</v>
      </c>
      <c r="G5" s="18"/>
      <c r="H5" s="17"/>
      <c r="I5" s="17"/>
      <c r="J5" s="17">
        <f>SUM(J6:J15)</f>
        <v>162.39857498436712</v>
      </c>
      <c r="K5" s="17"/>
      <c r="L5" s="17"/>
      <c r="M5" s="17"/>
      <c r="N5" s="17">
        <f>SUM(N6:N15)</f>
        <v>31249.564888033921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4957.1849143723803</v>
      </c>
      <c r="C8" s="33"/>
      <c r="D8" s="37">
        <f>IF( ISERROR(IND_metaal_Gas_kWH/1000),0,IND_metaal_Gas_kWH/1000)*0.902</f>
        <v>25568.554648617417</v>
      </c>
      <c r="E8" s="33">
        <f>C30*'E Balans VL '!I18/100/3.6*1000000</f>
        <v>142.38895773026465</v>
      </c>
      <c r="F8" s="33">
        <f>C30*'E Balans VL '!L18/100/3.6*1000000+C30*'E Balans VL '!N18/100/3.6*1000000</f>
        <v>1271.4225901691254</v>
      </c>
      <c r="G8" s="34"/>
      <c r="H8" s="33"/>
      <c r="I8" s="33"/>
      <c r="J8" s="40">
        <f>C30*'E Balans VL '!D18/100/3.6*1000000+C30*'E Balans VL '!E18/100/3.6*1000000</f>
        <v>0</v>
      </c>
      <c r="K8" s="33"/>
      <c r="L8" s="33"/>
      <c r="M8" s="33"/>
      <c r="N8" s="33">
        <f>C30*'E Balans VL '!Y18/100/3.6*1000000</f>
        <v>134.59768947326401</v>
      </c>
      <c r="O8" s="33"/>
      <c r="P8" s="33"/>
      <c r="R8" s="32"/>
    </row>
    <row r="9" spans="1:18">
      <c r="A9" s="6" t="s">
        <v>33</v>
      </c>
      <c r="B9" s="37">
        <f t="shared" si="0"/>
        <v>15525.3492994687</v>
      </c>
      <c r="C9" s="33"/>
      <c r="D9" s="37">
        <f>IF( ISERROR(IND_andere_gas_kWh/1000),0,IND_andere_gas_kWh/1000)*0.902</f>
        <v>12015.141745723806</v>
      </c>
      <c r="E9" s="33">
        <f>C31*'E Balans VL '!I19/100/3.6*1000000</f>
        <v>4202.3303329750161</v>
      </c>
      <c r="F9" s="33">
        <f>C31*'E Balans VL '!L19/100/3.6*1000000+C31*'E Balans VL '!N19/100/3.6*1000000</f>
        <v>10341.525558593083</v>
      </c>
      <c r="G9" s="34"/>
      <c r="H9" s="33"/>
      <c r="I9" s="33"/>
      <c r="J9" s="40">
        <f>C31*'E Balans VL '!D19/100/3.6*1000000+C31*'E Balans VL '!E19/100/3.6*1000000</f>
        <v>0</v>
      </c>
      <c r="K9" s="33"/>
      <c r="L9" s="33"/>
      <c r="M9" s="33"/>
      <c r="N9" s="33">
        <f>C31*'E Balans VL '!Y19/100/3.6*1000000</f>
        <v>5068.7686481457486</v>
      </c>
      <c r="O9" s="33"/>
      <c r="P9" s="33"/>
      <c r="R9" s="32"/>
    </row>
    <row r="10" spans="1:18">
      <c r="A10" s="6" t="s">
        <v>41</v>
      </c>
      <c r="B10" s="37">
        <f t="shared" si="0"/>
        <v>20873.077715736603</v>
      </c>
      <c r="C10" s="33"/>
      <c r="D10" s="37">
        <f>IF( ISERROR(IND_voed_gas_kWh/1000),0,IND_voed_gas_kWh/1000)*0.902</f>
        <v>14070.6831360456</v>
      </c>
      <c r="E10" s="33">
        <f>C32*'E Balans VL '!I20/100/3.6*1000000</f>
        <v>1702.4561731436845</v>
      </c>
      <c r="F10" s="33">
        <f>C32*'E Balans VL '!L20/100/3.6*1000000+C32*'E Balans VL '!N20/100/3.6*1000000</f>
        <v>31123.652645708353</v>
      </c>
      <c r="G10" s="34"/>
      <c r="H10" s="33"/>
      <c r="I10" s="33"/>
      <c r="J10" s="40">
        <f>C32*'E Balans VL '!D20/100/3.6*1000000+C32*'E Balans VL '!E20/100/3.6*1000000</f>
        <v>0.2761254816617576</v>
      </c>
      <c r="K10" s="33"/>
      <c r="L10" s="33"/>
      <c r="M10" s="33"/>
      <c r="N10" s="33">
        <f>C32*'E Balans VL '!Y20/100/3.6*1000000</f>
        <v>6131.7737013894402</v>
      </c>
      <c r="O10" s="33"/>
      <c r="P10" s="33"/>
      <c r="R10" s="32"/>
    </row>
    <row r="11" spans="1:18">
      <c r="A11" s="6" t="s">
        <v>40</v>
      </c>
      <c r="B11" s="37">
        <f t="shared" si="0"/>
        <v>338.07185209230397</v>
      </c>
      <c r="C11" s="33"/>
      <c r="D11" s="37">
        <f>IF( ISERROR(IND_textiel_gas_kWh/1000),0,IND_textiel_gas_kWh/1000)*0.902</f>
        <v>324.15998796830416</v>
      </c>
      <c r="E11" s="33">
        <f>C33*'E Balans VL '!I21/100/3.6*1000000</f>
        <v>6.7012757936662018E-2</v>
      </c>
      <c r="F11" s="33">
        <f>C33*'E Balans VL '!L21/100/3.6*1000000+C33*'E Balans VL '!N21/100/3.6*1000000</f>
        <v>12.451594197551202</v>
      </c>
      <c r="G11" s="34"/>
      <c r="H11" s="33"/>
      <c r="I11" s="33"/>
      <c r="J11" s="40">
        <f>C33*'E Balans VL '!D21/100/3.6*1000000+C33*'E Balans VL '!E21/100/3.6*1000000</f>
        <v>0</v>
      </c>
      <c r="K11" s="33"/>
      <c r="L11" s="33"/>
      <c r="M11" s="33"/>
      <c r="N11" s="33">
        <f>C33*'E Balans VL '!Y21/100/3.6*1000000</f>
        <v>1.5719487687465665</v>
      </c>
      <c r="O11" s="33"/>
      <c r="P11" s="33"/>
      <c r="R11" s="32"/>
    </row>
    <row r="12" spans="1:18">
      <c r="A12" s="6" t="s">
        <v>37</v>
      </c>
      <c r="B12" s="37">
        <f t="shared" si="0"/>
        <v>2470.7195938069203</v>
      </c>
      <c r="C12" s="33"/>
      <c r="D12" s="37">
        <f>IF( ISERROR(IND_min_gas_kWh/1000),0,IND_min_gas_kWh/1000)*0.902</f>
        <v>57.08262347732866</v>
      </c>
      <c r="E12" s="33">
        <f>C34*'E Balans VL '!I22/100/3.6*1000000</f>
        <v>19.246367288871447</v>
      </c>
      <c r="F12" s="33">
        <f>C34*'E Balans VL '!L22/100/3.6*1000000+C34*'E Balans VL '!N22/100/3.6*1000000</f>
        <v>931.80360042769098</v>
      </c>
      <c r="G12" s="34"/>
      <c r="H12" s="33"/>
      <c r="I12" s="33"/>
      <c r="J12" s="40">
        <f>C34*'E Balans VL '!D22/100/3.6*1000000+C34*'E Balans VL '!E22/100/3.6*1000000</f>
        <v>13.588741743691104</v>
      </c>
      <c r="K12" s="33"/>
      <c r="L12" s="33"/>
      <c r="M12" s="33"/>
      <c r="N12" s="33">
        <f>C34*'E Balans VL '!Y22/100/3.6*1000000</f>
        <v>0</v>
      </c>
      <c r="O12" s="33"/>
      <c r="P12" s="33"/>
      <c r="R12" s="32"/>
    </row>
    <row r="13" spans="1:18">
      <c r="A13" s="6" t="s">
        <v>39</v>
      </c>
      <c r="B13" s="37">
        <f t="shared" si="0"/>
        <v>3955.8173424574097</v>
      </c>
      <c r="C13" s="33"/>
      <c r="D13" s="37">
        <f>IF( ISERROR(IND_papier_gas_kWh/1000),0,IND_papier_gas_kWh/1000)*0.902</f>
        <v>1715.8127993736393</v>
      </c>
      <c r="E13" s="33">
        <f>C35*'E Balans VL '!I23/100/3.6*1000000</f>
        <v>41.444393281941629</v>
      </c>
      <c r="F13" s="33">
        <f>C35*'E Balans VL '!L23/100/3.6*1000000+C35*'E Balans VL '!N23/100/3.6*1000000</f>
        <v>295.18379124710316</v>
      </c>
      <c r="G13" s="34"/>
      <c r="H13" s="33"/>
      <c r="I13" s="33"/>
      <c r="J13" s="40">
        <f>C35*'E Balans VL '!D23/100/3.6*1000000+C35*'E Balans VL '!E23/100/3.6*1000000</f>
        <v>0</v>
      </c>
      <c r="K13" s="33"/>
      <c r="L13" s="33"/>
      <c r="M13" s="33"/>
      <c r="N13" s="33">
        <f>C35*'E Balans VL '!Y23/100/3.6*1000000</f>
        <v>8455.1466738339113</v>
      </c>
      <c r="O13" s="33"/>
      <c r="P13" s="33"/>
      <c r="R13" s="32"/>
    </row>
    <row r="14" spans="1:18">
      <c r="A14" s="6" t="s">
        <v>34</v>
      </c>
      <c r="B14" s="37">
        <f t="shared" si="0"/>
        <v>3481.3285896358202</v>
      </c>
      <c r="C14" s="33"/>
      <c r="D14" s="37">
        <f>IF( ISERROR(IND_chemie_gas_kWh/1000),0,IND_chemie_gas_kWh/1000)*0.902</f>
        <v>6079.9758332113288</v>
      </c>
      <c r="E14" s="33">
        <f>C36*'E Balans VL '!I24/100/3.6*1000000</f>
        <v>16.457057764396556</v>
      </c>
      <c r="F14" s="33">
        <f>C36*'E Balans VL '!L24/100/3.6*1000000+C36*'E Balans VL '!N24/100/3.6*1000000</f>
        <v>65.795241702512726</v>
      </c>
      <c r="G14" s="34"/>
      <c r="H14" s="33"/>
      <c r="I14" s="33"/>
      <c r="J14" s="40">
        <f>C36*'E Balans VL '!D24/100/3.6*1000000+C36*'E Balans VL '!E24/100/3.6*1000000</f>
        <v>0</v>
      </c>
      <c r="K14" s="33"/>
      <c r="L14" s="33"/>
      <c r="M14" s="33"/>
      <c r="N14" s="33">
        <f>C36*'E Balans VL '!Y24/100/3.6*1000000</f>
        <v>84.514880713275133</v>
      </c>
      <c r="O14" s="33"/>
      <c r="P14" s="33"/>
      <c r="R14" s="32"/>
    </row>
    <row r="15" spans="1:18">
      <c r="A15" s="6" t="s">
        <v>270</v>
      </c>
      <c r="B15" s="37">
        <f t="shared" si="0"/>
        <v>57951.643932382205</v>
      </c>
      <c r="C15" s="33"/>
      <c r="D15" s="37">
        <f>IF( ISERROR(IND_rest_gas_kWh/1000),0,IND_rest_gas_kWh/1000)*0.902</f>
        <v>126971.37948046725</v>
      </c>
      <c r="E15" s="33">
        <f>C37*'E Balans VL '!I15/100/3.6*1000000</f>
        <v>3233.0158791847953</v>
      </c>
      <c r="F15" s="33">
        <f>C37*'E Balans VL '!L15/100/3.6*1000000+C37*'E Balans VL '!N15/100/3.6*1000000</f>
        <v>13623.250607931921</v>
      </c>
      <c r="G15" s="34"/>
      <c r="H15" s="33"/>
      <c r="I15" s="33"/>
      <c r="J15" s="40">
        <f>C37*'E Balans VL '!D15/100/3.6*1000000+C37*'E Balans VL '!E15/100/3.6*1000000</f>
        <v>148.53370775901425</v>
      </c>
      <c r="K15" s="33"/>
      <c r="L15" s="33"/>
      <c r="M15" s="33"/>
      <c r="N15" s="33">
        <f>C37*'E Balans VL '!Y15/100/3.6*1000000</f>
        <v>11373.191345709534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109553.19323995235</v>
      </c>
      <c r="C18" s="21">
        <f>C5+C16</f>
        <v>0</v>
      </c>
      <c r="D18" s="21">
        <f>MAX((D5+D16),0)</f>
        <v>186802.79025488469</v>
      </c>
      <c r="E18" s="21">
        <f>MAX((E5+E16),0)</f>
        <v>9357.406174126907</v>
      </c>
      <c r="F18" s="21">
        <f>MAX((F5+F16),0)</f>
        <v>57665.085629977337</v>
      </c>
      <c r="G18" s="21"/>
      <c r="H18" s="21"/>
      <c r="I18" s="21"/>
      <c r="J18" s="21">
        <f>MAX((J5+J16),0)</f>
        <v>162.39857498436712</v>
      </c>
      <c r="K18" s="21"/>
      <c r="L18" s="21">
        <f>MAX((L5+L16),0)</f>
        <v>0</v>
      </c>
      <c r="M18" s="21"/>
      <c r="N18" s="21">
        <f>MAX((N5+N16),0)</f>
        <v>31249.564888033921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0.19090038739734067</v>
      </c>
      <c r="C20" s="25">
        <f ca="1">'EF ele_warmte'!B22</f>
        <v>0.23302293259207782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20913.747030122628</v>
      </c>
      <c r="C22" s="23">
        <f ca="1">C18*C20</f>
        <v>0</v>
      </c>
      <c r="D22" s="23">
        <f>D18*D20</f>
        <v>37734.163631486706</v>
      </c>
      <c r="E22" s="23">
        <f>E18*E20</f>
        <v>2124.1312015268081</v>
      </c>
      <c r="F22" s="23">
        <f>F18*F20</f>
        <v>15396.577863203949</v>
      </c>
      <c r="G22" s="23"/>
      <c r="H22" s="23"/>
      <c r="I22" s="23"/>
      <c r="J22" s="23">
        <f>J18*J20</f>
        <v>57.489095544465954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4957.1849143723803</v>
      </c>
      <c r="C30" s="39">
        <f>IF(ISERROR(B30*3.6/1000000/'E Balans VL '!Z18*100),0,B30*3.6/1000000/'E Balans VL '!Z18*100)</f>
        <v>0.48777434122916058</v>
      </c>
      <c r="D30" s="239" t="s">
        <v>692</v>
      </c>
    </row>
    <row r="31" spans="1:18">
      <c r="A31" s="6" t="s">
        <v>33</v>
      </c>
      <c r="B31" s="37">
        <f>IF( ISERROR(IND_ander_ele_kWh/1000),0,IND_ander_ele_kWh/1000)</f>
        <v>15525.3492994687</v>
      </c>
      <c r="C31" s="39">
        <f>IF(ISERROR(B31*3.6/1000000/'E Balans VL '!Z19*100),0,B31*3.6/1000000/'E Balans VL '!Z19*100)</f>
        <v>0.67611657754272059</v>
      </c>
      <c r="D31" s="239" t="s">
        <v>692</v>
      </c>
    </row>
    <row r="32" spans="1:18">
      <c r="A32" s="173" t="s">
        <v>41</v>
      </c>
      <c r="B32" s="37">
        <f>IF( ISERROR(IND_voed_ele_kWh/1000),0,IND_voed_ele_kWh/1000)</f>
        <v>20873.077715736603</v>
      </c>
      <c r="C32" s="39">
        <f>IF(ISERROR(B32*3.6/1000000/'E Balans VL '!Z20*100),0,B32*3.6/1000000/'E Balans VL '!Z20*100)</f>
        <v>3.9603654740330216</v>
      </c>
      <c r="D32" s="239" t="s">
        <v>692</v>
      </c>
    </row>
    <row r="33" spans="1:5">
      <c r="A33" s="173" t="s">
        <v>40</v>
      </c>
      <c r="B33" s="37">
        <f>IF( ISERROR(IND_textiel_ele_kWh/1000),0,IND_textiel_ele_kWh/1000)</f>
        <v>338.07185209230397</v>
      </c>
      <c r="C33" s="39">
        <f>IF(ISERROR(B33*3.6/1000000/'E Balans VL '!Z21*100),0,B33*3.6/1000000/'E Balans VL '!Z21*100)</f>
        <v>1.9302188305776791E-2</v>
      </c>
      <c r="D33" s="239" t="s">
        <v>692</v>
      </c>
    </row>
    <row r="34" spans="1:5">
      <c r="A34" s="173" t="s">
        <v>37</v>
      </c>
      <c r="B34" s="37">
        <f>IF( ISERROR(IND_min_ele_kWh/1000),0,IND_min_ele_kWh/1000)</f>
        <v>2470.7195938069203</v>
      </c>
      <c r="C34" s="39">
        <f>IF(ISERROR(B34*3.6/1000000/'E Balans VL '!Z22*100),0,B34*3.6/1000000/'E Balans VL '!Z22*100)</f>
        <v>0.34740798508208942</v>
      </c>
      <c r="D34" s="239" t="s">
        <v>692</v>
      </c>
    </row>
    <row r="35" spans="1:5">
      <c r="A35" s="173" t="s">
        <v>39</v>
      </c>
      <c r="B35" s="37">
        <f>IF( ISERROR(IND_papier_ele_kWh/1000),0,IND_papier_ele_kWh/1000)</f>
        <v>3955.8173424574097</v>
      </c>
      <c r="C35" s="39">
        <f>IF(ISERROR(B35*3.6/1000000/'E Balans VL '!Z22*100),0,B35*3.6/1000000/'E Balans VL '!Z22*100)</f>
        <v>0.55622764142911107</v>
      </c>
      <c r="D35" s="239" t="s">
        <v>692</v>
      </c>
    </row>
    <row r="36" spans="1:5">
      <c r="A36" s="173" t="s">
        <v>34</v>
      </c>
      <c r="B36" s="37">
        <f>IF( ISERROR(IND_chemie_ele_kWh/1000),0,IND_chemie_ele_kWh/1000)</f>
        <v>3481.3285896358202</v>
      </c>
      <c r="C36" s="39">
        <f>IF(ISERROR(B36*3.6/1000000/'E Balans VL '!Z24*100),0,B36*3.6/1000000/'E Balans VL '!Z24*100)</f>
        <v>0.10145620222756208</v>
      </c>
      <c r="D36" s="239" t="s">
        <v>692</v>
      </c>
    </row>
    <row r="37" spans="1:5">
      <c r="A37" s="173" t="s">
        <v>270</v>
      </c>
      <c r="B37" s="37">
        <f>IF( ISERROR(IND_rest_ele_kWh/1000),0,IND_rest_ele_kWh/1000)</f>
        <v>57951.643932382205</v>
      </c>
      <c r="C37" s="39">
        <f>IF(ISERROR(B37*3.6/1000000/'E Balans VL '!Z15*100),0,B37*3.6/1000000/'E Balans VL '!Z15*100)</f>
        <v>0.44658859578983762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8815.8176642216204</v>
      </c>
      <c r="C5" s="17">
        <f>'Eigen informatie GS &amp; warmtenet'!B60</f>
        <v>0</v>
      </c>
      <c r="D5" s="30">
        <f>IF(ISERROR(SUM(LB_lb_gas_kWh,LB_rest_gas_kWh)/1000),0,SUM(LB_lb_gas_kWh,LB_rest_gas_kWh)/1000)*0.902</f>
        <v>16323.024442246808</v>
      </c>
      <c r="E5" s="17">
        <f>B17*'E Balans VL '!I25/3.6*1000000/100</f>
        <v>111.09065965147245</v>
      </c>
      <c r="F5" s="17">
        <f>B17*('E Balans VL '!L25/3.6*1000000+'E Balans VL '!N25/3.6*1000000)/100</f>
        <v>30416.779435852422</v>
      </c>
      <c r="G5" s="18"/>
      <c r="H5" s="17"/>
      <c r="I5" s="17"/>
      <c r="J5" s="17">
        <f>('E Balans VL '!D25+'E Balans VL '!E25)/3.6*1000000*landbouw!B17/100</f>
        <v>1325.79876202063</v>
      </c>
      <c r="K5" s="17"/>
      <c r="L5" s="17">
        <f>L6*(-1)</f>
        <v>0</v>
      </c>
      <c r="M5" s="17"/>
      <c r="N5" s="17">
        <f>N6*(-1)</f>
        <v>0</v>
      </c>
      <c r="O5" s="17"/>
      <c r="P5" s="17"/>
      <c r="R5" s="32"/>
    </row>
    <row r="6" spans="1:18">
      <c r="A6" s="16" t="s">
        <v>497</v>
      </c>
      <c r="B6" s="17" t="s">
        <v>211</v>
      </c>
      <c r="C6" s="17">
        <f>'lokale energieproductie'!O92+'lokale energieproductie'!O61</f>
        <v>29.464285714285715</v>
      </c>
      <c r="D6" s="312">
        <f>('lokale energieproductie'!P61+'lokale energieproductie'!P92)*(-1)</f>
        <v>-58.928571428571431</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8815.8176642216204</v>
      </c>
      <c r="C8" s="21">
        <f>C5+C6</f>
        <v>29.464285714285715</v>
      </c>
      <c r="D8" s="21">
        <f>MAX((D5+D6),0)</f>
        <v>16264.095870818237</v>
      </c>
      <c r="E8" s="21">
        <f>MAX((E5+E6),0)</f>
        <v>111.09065965147245</v>
      </c>
      <c r="F8" s="21">
        <f>MAX((F5+F6),0)</f>
        <v>30416.779435852422</v>
      </c>
      <c r="G8" s="21"/>
      <c r="H8" s="21"/>
      <c r="I8" s="21"/>
      <c r="J8" s="21">
        <f>MAX((J5+J6),0)</f>
        <v>1325.79876202063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0.19090038739734067</v>
      </c>
      <c r="C10" s="31">
        <f ca="1">'EF ele_warmte'!B22</f>
        <v>0.23302293259207782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1682.9430073242263</v>
      </c>
      <c r="C12" s="23">
        <f ca="1">C8*C10</f>
        <v>6.8658542638737217</v>
      </c>
      <c r="D12" s="23">
        <f>D8*D10</f>
        <v>3285.3473659052843</v>
      </c>
      <c r="E12" s="23">
        <f>E8*E10</f>
        <v>25.217579740884247</v>
      </c>
      <c r="F12" s="23">
        <f>F8*F10</f>
        <v>8121.2801093725975</v>
      </c>
      <c r="G12" s="23"/>
      <c r="H12" s="23"/>
      <c r="I12" s="23"/>
      <c r="J12" s="23">
        <f>J8*J10</f>
        <v>469.33276175530301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1.2295287057147943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591.3650745659794</v>
      </c>
      <c r="C26" s="249">
        <f>B26*'GWP N2O_CH4'!B5</f>
        <v>12418.666565885567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182.32323221810327</v>
      </c>
      <c r="C27" s="249">
        <f>B27*'GWP N2O_CH4'!B5</f>
        <v>3828.7878765801688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9.0376695199089383</v>
      </c>
      <c r="C28" s="249">
        <f>B28*'GWP N2O_CH4'!B4</f>
        <v>2801.677551171771</v>
      </c>
      <c r="D28" s="50"/>
    </row>
    <row r="29" spans="1:4">
      <c r="A29" s="41" t="s">
        <v>277</v>
      </c>
      <c r="B29" s="249">
        <f>B34*'ha_N2O bodem landbouw'!B4</f>
        <v>27.197945894827978</v>
      </c>
      <c r="C29" s="249">
        <f>B29*'GWP N2O_CH4'!B4</f>
        <v>8431.3632273966723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6.7910553204780216E-3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1.5220766469379042E-4</v>
      </c>
      <c r="C5" s="448" t="s">
        <v>211</v>
      </c>
      <c r="D5" s="433">
        <f>SUM(D6:D11)</f>
        <v>2.4801684399350274E-4</v>
      </c>
      <c r="E5" s="433">
        <f>SUM(E6:E11)</f>
        <v>7.7990420736620686E-3</v>
      </c>
      <c r="F5" s="446" t="s">
        <v>211</v>
      </c>
      <c r="G5" s="433">
        <f>SUM(G6:G11)</f>
        <v>2.081384594738247</v>
      </c>
      <c r="H5" s="433">
        <f>SUM(H6:H11)</f>
        <v>0.37311784811449628</v>
      </c>
      <c r="I5" s="448" t="s">
        <v>211</v>
      </c>
      <c r="J5" s="448" t="s">
        <v>211</v>
      </c>
      <c r="K5" s="448" t="s">
        <v>211</v>
      </c>
      <c r="L5" s="448" t="s">
        <v>211</v>
      </c>
      <c r="M5" s="433">
        <f>SUM(M6:M11)</f>
        <v>0.11095817331857714</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1.0758883339862165E-4</v>
      </c>
      <c r="C6" s="887"/>
      <c r="D6" s="887">
        <f>vkm_2011_GW_PW*SUMIFS(TableVerdeelsleutelVkm[CNG],TableVerdeelsleutelVkm[Voertuigtype],"Lichte voertuigen")*SUMIFS(TableECFTransport[EnergieConsumptieFactor (PJ per km)],TableECFTransport[Index],CONCATENATE($A6,"_CNG_CNG"))</f>
        <v>1.5236683038259187E-4</v>
      </c>
      <c r="E6" s="887">
        <f>vkm_2011_GW_PW*SUMIFS(TableVerdeelsleutelVkm[LPG],TableVerdeelsleutelVkm[Voertuigtype],"Lichte voertuigen")*SUMIFS(TableECFTransport[EnergieConsumptieFactor (PJ per km)],TableECFTransport[Index],CONCATENATE($A6,"_LPG_LPG"))</f>
        <v>4.7853405374691203E-3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0.86005672696555668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0.23045912052504416</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4.93384214381134E-2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0.52675198744822271</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1.8714952042760634E-4</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2.3770650138481762E-2</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2.8413965189463212E-5</v>
      </c>
      <c r="C8" s="887"/>
      <c r="D8" s="436">
        <f>vkm_2011_NGW_PW*SUMIFS(TableVerdeelsleutelVkm[CNG],TableVerdeelsleutelVkm[Voertuigtype],"Lichte voertuigen")*SUMIFS(TableECFTransport[EnergieConsumptieFactor (PJ per km)],TableECFTransport[Index],CONCATENATE($A8,"_CNG_CNG"))</f>
        <v>7.1687768564054175E-5</v>
      </c>
      <c r="E8" s="436">
        <f>vkm_2011_NGW_PW*SUMIFS(TableVerdeelsleutelVkm[LPG],TableVerdeelsleutelVkm[Voertuigtype],"Lichte voertuigen")*SUMIFS(TableECFTransport[EnergieConsumptieFactor (PJ per km)],TableECFTransport[Index],CONCATENATE($A8,"_LPG_LPG"))</f>
        <v>2.0737659553649369E-3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0.35152343873576875</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0.10462406048459427</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2.0642732366600688E-2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7.051193001714344E-2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2.3706630982567502E-5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3.1819187049860137E-3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1.620486610570557E-5</v>
      </c>
      <c r="C10" s="887"/>
      <c r="D10" s="436">
        <f>vkm_2011_SW_PW*SUMIFS(TableVerdeelsleutelVkm[CNG],TableVerdeelsleutelVkm[Voertuigtype],"Lichte voertuigen")*SUMIFS(TableECFTransport[EnergieConsumptieFactor (PJ per km)],TableECFTransport[Index],CONCATENATE($A10,"_CNG_CNG"))</f>
        <v>2.3962245046856713E-5</v>
      </c>
      <c r="E10" s="436">
        <f>vkm_2011_SW_PW*SUMIFS(TableVerdeelsleutelVkm[LPG],TableVerdeelsleutelVkm[Voertuigtype],"Lichte voertuigen")*SUMIFS(TableECFTransport[EnergieConsumptieFactor (PJ per km)],TableECFTransport[Index],CONCATENATE($A10,"_LPG_LPG"))</f>
        <v>9.399355808280117E-4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0.15299388014621584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3.7778007385956387E-2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8.6295372304241499E-3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0.11954663142533915</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4.5803567491293515E-5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5.3949134399711276E-3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42.27990685938623</v>
      </c>
      <c r="C14" s="21"/>
      <c r="D14" s="21">
        <f t="shared" ref="D14:M14" si="0">((D5)*10^9/3600)+D12</f>
        <v>68.893567775972983</v>
      </c>
      <c r="E14" s="21">
        <f t="shared" si="0"/>
        <v>2166.4005760172413</v>
      </c>
      <c r="F14" s="21"/>
      <c r="G14" s="21">
        <f t="shared" si="0"/>
        <v>578162.38742729079</v>
      </c>
      <c r="H14" s="21">
        <f t="shared" si="0"/>
        <v>103643.84669847118</v>
      </c>
      <c r="I14" s="21"/>
      <c r="J14" s="21"/>
      <c r="K14" s="21"/>
      <c r="L14" s="21"/>
      <c r="M14" s="21">
        <f t="shared" si="0"/>
        <v>30821.714810715872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0.19090038739734067</v>
      </c>
      <c r="C16" s="56">
        <f ca="1">'EF ele_warmte'!B22</f>
        <v>0.23302293259207782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8.0712505985803116</v>
      </c>
      <c r="C18" s="23"/>
      <c r="D18" s="23">
        <f t="shared" ref="D18:M18" si="1">D14*D16</f>
        <v>13.916500690746544</v>
      </c>
      <c r="E18" s="23">
        <f t="shared" si="1"/>
        <v>491.77293075591376</v>
      </c>
      <c r="F18" s="23"/>
      <c r="G18" s="23">
        <f t="shared" si="1"/>
        <v>154369.35744308666</v>
      </c>
      <c r="H18" s="23">
        <f t="shared" si="1"/>
        <v>25807.317827919323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2.8948164940585399E-3</v>
      </c>
      <c r="C50" s="323">
        <f t="shared" ref="C50:P50" si="2">SUM(C51:C52)</f>
        <v>0</v>
      </c>
      <c r="D50" s="323">
        <f t="shared" si="2"/>
        <v>0</v>
      </c>
      <c r="E50" s="323">
        <f t="shared" si="2"/>
        <v>0</v>
      </c>
      <c r="F50" s="323">
        <f t="shared" si="2"/>
        <v>0</v>
      </c>
      <c r="G50" s="323">
        <f t="shared" si="2"/>
        <v>8.1530436615664698E-2</v>
      </c>
      <c r="H50" s="323">
        <f t="shared" si="2"/>
        <v>0</v>
      </c>
      <c r="I50" s="323">
        <f t="shared" si="2"/>
        <v>0</v>
      </c>
      <c r="J50" s="323">
        <f t="shared" si="2"/>
        <v>0</v>
      </c>
      <c r="K50" s="323">
        <f t="shared" si="2"/>
        <v>0</v>
      </c>
      <c r="L50" s="323">
        <f t="shared" si="2"/>
        <v>0</v>
      </c>
      <c r="M50" s="323">
        <f t="shared" si="2"/>
        <v>3.6258579329288645E-3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8.1530436615664698E-2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3.6258579329288645E-3</v>
      </c>
      <c r="N51" s="325"/>
      <c r="O51" s="325"/>
      <c r="P51" s="328"/>
    </row>
    <row r="52" spans="1:18">
      <c r="A52" s="4" t="s">
        <v>330</v>
      </c>
      <c r="B52" s="329">
        <f>vkm_2011_tram*SUMIFS(TableECFTransport[EnergieConsumptieFactor (PJ per km)],TableECFTransport[Index],"Tram_gemiddeld_Electric_Electric")</f>
        <v>2.8948164940585399E-3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804.11569279403886</v>
      </c>
      <c r="C54" s="21">
        <f t="shared" ref="C54:P54" si="3">(C50)*10^9/3600</f>
        <v>0</v>
      </c>
      <c r="D54" s="21">
        <f t="shared" si="3"/>
        <v>0</v>
      </c>
      <c r="E54" s="21">
        <f t="shared" si="3"/>
        <v>0</v>
      </c>
      <c r="F54" s="21">
        <f t="shared" si="3"/>
        <v>0</v>
      </c>
      <c r="G54" s="21">
        <f t="shared" si="3"/>
        <v>22647.343504351302</v>
      </c>
      <c r="H54" s="21">
        <f t="shared" si="3"/>
        <v>0</v>
      </c>
      <c r="I54" s="21">
        <f t="shared" si="3"/>
        <v>0</v>
      </c>
      <c r="J54" s="21">
        <f t="shared" si="3"/>
        <v>0</v>
      </c>
      <c r="K54" s="21">
        <f t="shared" si="3"/>
        <v>0</v>
      </c>
      <c r="L54" s="21">
        <f t="shared" si="3"/>
        <v>0</v>
      </c>
      <c r="M54" s="21">
        <f t="shared" si="3"/>
        <v>1007.1827591469067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0.19090038739734067</v>
      </c>
      <c r="C56" s="56">
        <f ca="1">'EF ele_warmte'!B22</f>
        <v>0.23302293259207782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153.505997266663</v>
      </c>
      <c r="C58" s="23">
        <f t="shared" ref="C58:P58" ca="1" si="4">C54*C56</f>
        <v>0</v>
      </c>
      <c r="D58" s="23">
        <f t="shared" si="4"/>
        <v>0</v>
      </c>
      <c r="E58" s="23">
        <f t="shared" si="4"/>
        <v>0</v>
      </c>
      <c r="F58" s="23">
        <f t="shared" si="4"/>
        <v>0</v>
      </c>
      <c r="G58" s="23">
        <f t="shared" si="4"/>
        <v>6046.8407156617977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334533.90944173239</v>
      </c>
      <c r="D10" s="690">
        <f ca="1">tertiair!C16</f>
        <v>22.5</v>
      </c>
      <c r="E10" s="690">
        <f ca="1">tertiair!D16</f>
        <v>404539.84003354947</v>
      </c>
      <c r="F10" s="690">
        <f>tertiair!E16</f>
        <v>4701.3681515960989</v>
      </c>
      <c r="G10" s="690">
        <f ca="1">tertiair!F16</f>
        <v>65245.633006832242</v>
      </c>
      <c r="H10" s="690">
        <f>tertiair!G16</f>
        <v>0</v>
      </c>
      <c r="I10" s="690">
        <f>tertiair!H16</f>
        <v>0</v>
      </c>
      <c r="J10" s="690">
        <f>tertiair!I16</f>
        <v>0</v>
      </c>
      <c r="K10" s="690">
        <f>tertiair!J16</f>
        <v>0</v>
      </c>
      <c r="L10" s="690">
        <f>tertiair!K16</f>
        <v>0</v>
      </c>
      <c r="M10" s="690">
        <f ca="1">tertiair!L16</f>
        <v>0</v>
      </c>
      <c r="N10" s="690">
        <f>tertiair!M16</f>
        <v>0</v>
      </c>
      <c r="O10" s="690">
        <f ca="1">tertiair!N16</f>
        <v>23918.628542694994</v>
      </c>
      <c r="P10" s="690">
        <f>tertiair!O16</f>
        <v>12.506666666666668</v>
      </c>
      <c r="Q10" s="691">
        <f>tertiair!P16</f>
        <v>305.06666666666666</v>
      </c>
      <c r="R10" s="693">
        <f ca="1">SUM(C10:Q10)</f>
        <v>833279.4525097385</v>
      </c>
      <c r="S10" s="67"/>
    </row>
    <row r="11" spans="1:19" s="458" customFormat="1">
      <c r="A11" s="805" t="s">
        <v>225</v>
      </c>
      <c r="B11" s="810"/>
      <c r="C11" s="690">
        <f>huishoudens!B8</f>
        <v>201403.89126681781</v>
      </c>
      <c r="D11" s="690">
        <f>huishoudens!C8</f>
        <v>0</v>
      </c>
      <c r="E11" s="690">
        <f>huishoudens!D8</f>
        <v>681451.35783511982</v>
      </c>
      <c r="F11" s="690">
        <f>huishoudens!E8</f>
        <v>8053.1176220836742</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56271.397386116863</v>
      </c>
      <c r="P11" s="690">
        <f>huishoudens!O8</f>
        <v>708.19</v>
      </c>
      <c r="Q11" s="691">
        <f>huishoudens!P8</f>
        <v>762.66666666666674</v>
      </c>
      <c r="R11" s="693">
        <f>SUM(C11:Q11)</f>
        <v>948650.62077680475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109553.19323995235</v>
      </c>
      <c r="D13" s="690">
        <f>industrie!C18</f>
        <v>0</v>
      </c>
      <c r="E13" s="690">
        <f>industrie!D18</f>
        <v>186802.79025488469</v>
      </c>
      <c r="F13" s="690">
        <f>industrie!E18</f>
        <v>9357.406174126907</v>
      </c>
      <c r="G13" s="690">
        <f>industrie!F18</f>
        <v>57665.085629977337</v>
      </c>
      <c r="H13" s="690">
        <f>industrie!G18</f>
        <v>0</v>
      </c>
      <c r="I13" s="690">
        <f>industrie!H18</f>
        <v>0</v>
      </c>
      <c r="J13" s="690">
        <f>industrie!I18</f>
        <v>0</v>
      </c>
      <c r="K13" s="690">
        <f>industrie!J18</f>
        <v>162.39857498436712</v>
      </c>
      <c r="L13" s="690">
        <f>industrie!K18</f>
        <v>0</v>
      </c>
      <c r="M13" s="690">
        <f>industrie!L18</f>
        <v>0</v>
      </c>
      <c r="N13" s="690">
        <f>industrie!M18</f>
        <v>0</v>
      </c>
      <c r="O13" s="690">
        <f>industrie!N18</f>
        <v>31249.564888033921</v>
      </c>
      <c r="P13" s="690">
        <f>industrie!O18</f>
        <v>0</v>
      </c>
      <c r="Q13" s="691">
        <f>industrie!P18</f>
        <v>0</v>
      </c>
      <c r="R13" s="693">
        <f>SUM(C13:Q13)</f>
        <v>394790.43876195955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645490.99394850258</v>
      </c>
      <c r="D16" s="725">
        <f t="shared" ref="D16:R16" ca="1" si="0">SUM(D9:D15)</f>
        <v>22.5</v>
      </c>
      <c r="E16" s="725">
        <f t="shared" ca="1" si="0"/>
        <v>1272793.988123554</v>
      </c>
      <c r="F16" s="725">
        <f t="shared" si="0"/>
        <v>22111.891947806682</v>
      </c>
      <c r="G16" s="725">
        <f t="shared" ca="1" si="0"/>
        <v>122910.71863680959</v>
      </c>
      <c r="H16" s="725">
        <f t="shared" si="0"/>
        <v>0</v>
      </c>
      <c r="I16" s="725">
        <f t="shared" si="0"/>
        <v>0</v>
      </c>
      <c r="J16" s="725">
        <f t="shared" si="0"/>
        <v>0</v>
      </c>
      <c r="K16" s="725">
        <f t="shared" si="0"/>
        <v>162.39857498436712</v>
      </c>
      <c r="L16" s="725">
        <f t="shared" si="0"/>
        <v>0</v>
      </c>
      <c r="M16" s="725">
        <f t="shared" ca="1" si="0"/>
        <v>0</v>
      </c>
      <c r="N16" s="725">
        <f t="shared" si="0"/>
        <v>0</v>
      </c>
      <c r="O16" s="725">
        <f t="shared" ca="1" si="0"/>
        <v>111439.59081684577</v>
      </c>
      <c r="P16" s="725">
        <f t="shared" si="0"/>
        <v>720.69666666666672</v>
      </c>
      <c r="Q16" s="725">
        <f t="shared" si="0"/>
        <v>1067.7333333333333</v>
      </c>
      <c r="R16" s="725">
        <f t="shared" ca="1" si="0"/>
        <v>2176720.5120485025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804.11569279403886</v>
      </c>
      <c r="D19" s="690">
        <f>transport!C54</f>
        <v>0</v>
      </c>
      <c r="E19" s="690">
        <f>transport!D54</f>
        <v>0</v>
      </c>
      <c r="F19" s="690">
        <f>transport!E54</f>
        <v>0</v>
      </c>
      <c r="G19" s="690">
        <f>transport!F54</f>
        <v>0</v>
      </c>
      <c r="H19" s="690">
        <f>transport!G54</f>
        <v>22647.343504351302</v>
      </c>
      <c r="I19" s="690">
        <f>transport!H54</f>
        <v>0</v>
      </c>
      <c r="J19" s="690">
        <f>transport!I54</f>
        <v>0</v>
      </c>
      <c r="K19" s="690">
        <f>transport!J54</f>
        <v>0</v>
      </c>
      <c r="L19" s="690">
        <f>transport!K54</f>
        <v>0</v>
      </c>
      <c r="M19" s="690">
        <f>transport!L54</f>
        <v>0</v>
      </c>
      <c r="N19" s="690">
        <f>transport!M54</f>
        <v>1007.1827591469067</v>
      </c>
      <c r="O19" s="690">
        <f>transport!N54</f>
        <v>0</v>
      </c>
      <c r="P19" s="690">
        <f>transport!O54</f>
        <v>0</v>
      </c>
      <c r="Q19" s="691">
        <f>transport!P54</f>
        <v>0</v>
      </c>
      <c r="R19" s="693">
        <f>SUM(C19:Q19)</f>
        <v>24458.641956292249</v>
      </c>
      <c r="S19" s="67"/>
    </row>
    <row r="20" spans="1:19" s="458" customFormat="1">
      <c r="A20" s="805" t="s">
        <v>307</v>
      </c>
      <c r="B20" s="810"/>
      <c r="C20" s="690">
        <f>transport!B14</f>
        <v>42.27990685938623</v>
      </c>
      <c r="D20" s="690">
        <f>transport!C14</f>
        <v>0</v>
      </c>
      <c r="E20" s="690">
        <f>transport!D14</f>
        <v>68.893567775972983</v>
      </c>
      <c r="F20" s="690">
        <f>transport!E14</f>
        <v>2166.4005760172413</v>
      </c>
      <c r="G20" s="690">
        <f>transport!F14</f>
        <v>0</v>
      </c>
      <c r="H20" s="690">
        <f>transport!G14</f>
        <v>578162.38742729079</v>
      </c>
      <c r="I20" s="690">
        <f>transport!H14</f>
        <v>103643.84669847118</v>
      </c>
      <c r="J20" s="690">
        <f>transport!I14</f>
        <v>0</v>
      </c>
      <c r="K20" s="690">
        <f>transport!J14</f>
        <v>0</v>
      </c>
      <c r="L20" s="690">
        <f>transport!K14</f>
        <v>0</v>
      </c>
      <c r="M20" s="690">
        <f>transport!L14</f>
        <v>0</v>
      </c>
      <c r="N20" s="690">
        <f>transport!M14</f>
        <v>30821.714810715872</v>
      </c>
      <c r="O20" s="690">
        <f>transport!N14</f>
        <v>0</v>
      </c>
      <c r="P20" s="690">
        <f>transport!O14</f>
        <v>0</v>
      </c>
      <c r="Q20" s="691">
        <f>transport!P14</f>
        <v>0</v>
      </c>
      <c r="R20" s="693">
        <f>SUM(C20:Q20)</f>
        <v>714905.52298713045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846.39559965342505</v>
      </c>
      <c r="D22" s="808">
        <f t="shared" ref="D22:R22" si="1">SUM(D18:D21)</f>
        <v>0</v>
      </c>
      <c r="E22" s="808">
        <f t="shared" si="1"/>
        <v>68.893567775972983</v>
      </c>
      <c r="F22" s="808">
        <f t="shared" si="1"/>
        <v>2166.4005760172413</v>
      </c>
      <c r="G22" s="808">
        <f t="shared" si="1"/>
        <v>0</v>
      </c>
      <c r="H22" s="808">
        <f t="shared" si="1"/>
        <v>600809.73093164212</v>
      </c>
      <c r="I22" s="808">
        <f t="shared" si="1"/>
        <v>103643.84669847118</v>
      </c>
      <c r="J22" s="808">
        <f t="shared" si="1"/>
        <v>0</v>
      </c>
      <c r="K22" s="808">
        <f t="shared" si="1"/>
        <v>0</v>
      </c>
      <c r="L22" s="808">
        <f t="shared" si="1"/>
        <v>0</v>
      </c>
      <c r="M22" s="808">
        <f t="shared" si="1"/>
        <v>0</v>
      </c>
      <c r="N22" s="808">
        <f t="shared" si="1"/>
        <v>31828.89756986278</v>
      </c>
      <c r="O22" s="808">
        <f t="shared" si="1"/>
        <v>0</v>
      </c>
      <c r="P22" s="808">
        <f t="shared" si="1"/>
        <v>0</v>
      </c>
      <c r="Q22" s="808">
        <f t="shared" si="1"/>
        <v>0</v>
      </c>
      <c r="R22" s="808">
        <f t="shared" si="1"/>
        <v>739364.16494342266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8815.8176642216204</v>
      </c>
      <c r="D24" s="690">
        <f>+landbouw!C8</f>
        <v>29.464285714285715</v>
      </c>
      <c r="E24" s="690">
        <f>+landbouw!D8</f>
        <v>16264.095870818237</v>
      </c>
      <c r="F24" s="690">
        <f>+landbouw!E8</f>
        <v>111.09065965147245</v>
      </c>
      <c r="G24" s="690">
        <f>+landbouw!F8</f>
        <v>30416.779435852422</v>
      </c>
      <c r="H24" s="690">
        <f>+landbouw!G8</f>
        <v>0</v>
      </c>
      <c r="I24" s="690">
        <f>+landbouw!H8</f>
        <v>0</v>
      </c>
      <c r="J24" s="690">
        <f>+landbouw!I8</f>
        <v>0</v>
      </c>
      <c r="K24" s="690">
        <f>+landbouw!J8</f>
        <v>1325.79876202063</v>
      </c>
      <c r="L24" s="690">
        <f>+landbouw!K8</f>
        <v>0</v>
      </c>
      <c r="M24" s="690">
        <f>+landbouw!L8</f>
        <v>0</v>
      </c>
      <c r="N24" s="690">
        <f>+landbouw!M8</f>
        <v>0</v>
      </c>
      <c r="O24" s="690">
        <f>+landbouw!N8</f>
        <v>0</v>
      </c>
      <c r="P24" s="690">
        <f>+landbouw!O8</f>
        <v>0</v>
      </c>
      <c r="Q24" s="691">
        <f>+landbouw!P8</f>
        <v>0</v>
      </c>
      <c r="R24" s="693">
        <f>SUM(C24:Q24)</f>
        <v>56963.046678278675</v>
      </c>
      <c r="S24" s="67"/>
    </row>
    <row r="25" spans="1:19" s="458" customFormat="1" ht="15" thickBot="1">
      <c r="A25" s="827" t="s">
        <v>872</v>
      </c>
      <c r="B25" s="1004"/>
      <c r="C25" s="1005">
        <f>IF(Onbekend_ele_kWh="---",0,Onbekend_ele_kWh)/1000+IF(REST_rest_ele_kWh="---",0,REST_rest_ele_kWh)/1000</f>
        <v>11680.261954109199</v>
      </c>
      <c r="D25" s="1005"/>
      <c r="E25" s="1005">
        <f>IF(onbekend_gas_kWh="---",0,onbekend_gas_kWh)/1000+IF(REST_rest_gas_kWh="---",0,REST_rest_gas_kWh)/1000</f>
        <v>36275.224985658497</v>
      </c>
      <c r="F25" s="1005"/>
      <c r="G25" s="1005"/>
      <c r="H25" s="1005"/>
      <c r="I25" s="1005"/>
      <c r="J25" s="1005"/>
      <c r="K25" s="1005"/>
      <c r="L25" s="1005"/>
      <c r="M25" s="1005"/>
      <c r="N25" s="1005"/>
      <c r="O25" s="1005"/>
      <c r="P25" s="1005"/>
      <c r="Q25" s="1006"/>
      <c r="R25" s="693">
        <f>SUM(C25:Q25)</f>
        <v>47955.486939767696</v>
      </c>
      <c r="S25" s="67"/>
    </row>
    <row r="26" spans="1:19" s="458" customFormat="1" ht="15.75" thickBot="1">
      <c r="A26" s="698" t="s">
        <v>873</v>
      </c>
      <c r="B26" s="813"/>
      <c r="C26" s="808">
        <f>SUM(C24:C25)</f>
        <v>20496.079618330819</v>
      </c>
      <c r="D26" s="808">
        <f t="shared" ref="D26:R26" si="2">SUM(D24:D25)</f>
        <v>29.464285714285715</v>
      </c>
      <c r="E26" s="808">
        <f t="shared" si="2"/>
        <v>52539.320856476734</v>
      </c>
      <c r="F26" s="808">
        <f t="shared" si="2"/>
        <v>111.09065965147245</v>
      </c>
      <c r="G26" s="808">
        <f t="shared" si="2"/>
        <v>30416.779435852422</v>
      </c>
      <c r="H26" s="808">
        <f t="shared" si="2"/>
        <v>0</v>
      </c>
      <c r="I26" s="808">
        <f t="shared" si="2"/>
        <v>0</v>
      </c>
      <c r="J26" s="808">
        <f t="shared" si="2"/>
        <v>0</v>
      </c>
      <c r="K26" s="808">
        <f t="shared" si="2"/>
        <v>1325.79876202063</v>
      </c>
      <c r="L26" s="808">
        <f t="shared" si="2"/>
        <v>0</v>
      </c>
      <c r="M26" s="808">
        <f t="shared" si="2"/>
        <v>0</v>
      </c>
      <c r="N26" s="808">
        <f t="shared" si="2"/>
        <v>0</v>
      </c>
      <c r="O26" s="808">
        <f t="shared" si="2"/>
        <v>0</v>
      </c>
      <c r="P26" s="808">
        <f t="shared" si="2"/>
        <v>0</v>
      </c>
      <c r="Q26" s="808">
        <f t="shared" si="2"/>
        <v>0</v>
      </c>
      <c r="R26" s="808">
        <f t="shared" si="2"/>
        <v>104918.53361804638</v>
      </c>
      <c r="S26" s="67"/>
    </row>
    <row r="27" spans="1:19" s="458" customFormat="1" ht="17.25" thickTop="1" thickBot="1">
      <c r="A27" s="699" t="s">
        <v>116</v>
      </c>
      <c r="B27" s="800"/>
      <c r="C27" s="700">
        <f ca="1">C22+C16+C26</f>
        <v>666833.46916648687</v>
      </c>
      <c r="D27" s="700">
        <f t="shared" ref="D27:R27" ca="1" si="3">D22+D16+D26</f>
        <v>51.964285714285715</v>
      </c>
      <c r="E27" s="700">
        <f t="shared" ca="1" si="3"/>
        <v>1325402.2025478068</v>
      </c>
      <c r="F27" s="700">
        <f t="shared" si="3"/>
        <v>24389.383183475395</v>
      </c>
      <c r="G27" s="700">
        <f t="shared" ca="1" si="3"/>
        <v>153327.49807266201</v>
      </c>
      <c r="H27" s="700">
        <f t="shared" si="3"/>
        <v>600809.73093164212</v>
      </c>
      <c r="I27" s="700">
        <f t="shared" si="3"/>
        <v>103643.84669847118</v>
      </c>
      <c r="J27" s="700">
        <f t="shared" si="3"/>
        <v>0</v>
      </c>
      <c r="K27" s="700">
        <f t="shared" si="3"/>
        <v>1488.1973370049971</v>
      </c>
      <c r="L27" s="700">
        <f t="shared" si="3"/>
        <v>0</v>
      </c>
      <c r="M27" s="700">
        <f t="shared" ca="1" si="3"/>
        <v>0</v>
      </c>
      <c r="N27" s="700">
        <f t="shared" si="3"/>
        <v>31828.89756986278</v>
      </c>
      <c r="O27" s="700">
        <f t="shared" ca="1" si="3"/>
        <v>111439.59081684577</v>
      </c>
      <c r="P27" s="700">
        <f t="shared" si="3"/>
        <v>720.69666666666672</v>
      </c>
      <c r="Q27" s="700">
        <f t="shared" si="3"/>
        <v>1067.7333333333333</v>
      </c>
      <c r="R27" s="700">
        <f t="shared" ca="1" si="3"/>
        <v>3021003.2106099715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63862.652909973593</v>
      </c>
      <c r="D40" s="690">
        <f ca="1">tertiair!C20</f>
        <v>5.2430159833217509</v>
      </c>
      <c r="E40" s="690">
        <f ca="1">tertiair!D20</f>
        <v>81717.04768677699</v>
      </c>
      <c r="F40" s="690">
        <f>tertiair!E20</f>
        <v>1067.2105704123144</v>
      </c>
      <c r="G40" s="690">
        <f ca="1">tertiair!F20</f>
        <v>17420.584012824209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164072.73819597042</v>
      </c>
    </row>
    <row r="41" spans="1:18">
      <c r="A41" s="818" t="s">
        <v>225</v>
      </c>
      <c r="B41" s="825"/>
      <c r="C41" s="690">
        <f ca="1">huishoudens!B12</f>
        <v>38448.080866167395</v>
      </c>
      <c r="D41" s="690">
        <f ca="1">huishoudens!C12</f>
        <v>0</v>
      </c>
      <c r="E41" s="690">
        <f>huishoudens!D12</f>
        <v>137653.17428269421</v>
      </c>
      <c r="F41" s="690">
        <f>huishoudens!E12</f>
        <v>1828.0577002129942</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177929.3128490746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20913.747030122628</v>
      </c>
      <c r="D43" s="690">
        <f ca="1">industrie!C22</f>
        <v>0</v>
      </c>
      <c r="E43" s="690">
        <f>industrie!D22</f>
        <v>37734.163631486706</v>
      </c>
      <c r="F43" s="690">
        <f>industrie!E22</f>
        <v>2124.1312015268081</v>
      </c>
      <c r="G43" s="690">
        <f>industrie!F22</f>
        <v>15396.577863203949</v>
      </c>
      <c r="H43" s="690">
        <f>industrie!G22</f>
        <v>0</v>
      </c>
      <c r="I43" s="690">
        <f>industrie!H22</f>
        <v>0</v>
      </c>
      <c r="J43" s="690">
        <f>industrie!I22</f>
        <v>0</v>
      </c>
      <c r="K43" s="690">
        <f>industrie!J22</f>
        <v>57.489095544465954</v>
      </c>
      <c r="L43" s="690">
        <f>industrie!K22</f>
        <v>0</v>
      </c>
      <c r="M43" s="690">
        <f>industrie!L22</f>
        <v>0</v>
      </c>
      <c r="N43" s="690">
        <f>industrie!M22</f>
        <v>0</v>
      </c>
      <c r="O43" s="690">
        <f>industrie!N22</f>
        <v>0</v>
      </c>
      <c r="P43" s="690">
        <f>industrie!O22</f>
        <v>0</v>
      </c>
      <c r="Q43" s="767">
        <f>industrie!P22</f>
        <v>0</v>
      </c>
      <c r="R43" s="845">
        <f t="shared" ca="1" si="4"/>
        <v>76226.108821884554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123224.48080626361</v>
      </c>
      <c r="D46" s="725">
        <f t="shared" ref="D46:Q46" ca="1" si="5">SUM(D39:D45)</f>
        <v>5.2430159833217509</v>
      </c>
      <c r="E46" s="725">
        <f t="shared" ca="1" si="5"/>
        <v>257104.3856009579</v>
      </c>
      <c r="F46" s="725">
        <f t="shared" si="5"/>
        <v>5019.3994721521167</v>
      </c>
      <c r="G46" s="725">
        <f t="shared" ca="1" si="5"/>
        <v>32817.161876028156</v>
      </c>
      <c r="H46" s="725">
        <f t="shared" si="5"/>
        <v>0</v>
      </c>
      <c r="I46" s="725">
        <f t="shared" si="5"/>
        <v>0</v>
      </c>
      <c r="J46" s="725">
        <f t="shared" si="5"/>
        <v>0</v>
      </c>
      <c r="K46" s="725">
        <f t="shared" si="5"/>
        <v>57.489095544465954</v>
      </c>
      <c r="L46" s="725">
        <f t="shared" si="5"/>
        <v>0</v>
      </c>
      <c r="M46" s="725">
        <f t="shared" ca="1" si="5"/>
        <v>0</v>
      </c>
      <c r="N46" s="725">
        <f t="shared" si="5"/>
        <v>0</v>
      </c>
      <c r="O46" s="725">
        <f t="shared" ca="1" si="5"/>
        <v>0</v>
      </c>
      <c r="P46" s="725">
        <f t="shared" si="5"/>
        <v>0</v>
      </c>
      <c r="Q46" s="725">
        <f t="shared" si="5"/>
        <v>0</v>
      </c>
      <c r="R46" s="725">
        <f ca="1">SUM(R39:R45)</f>
        <v>418228.15986692958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153.505997266663</v>
      </c>
      <c r="D49" s="690">
        <f ca="1">transport!C58</f>
        <v>0</v>
      </c>
      <c r="E49" s="690">
        <f>transport!D58</f>
        <v>0</v>
      </c>
      <c r="F49" s="690">
        <f>transport!E58</f>
        <v>0</v>
      </c>
      <c r="G49" s="690">
        <f>transport!F58</f>
        <v>0</v>
      </c>
      <c r="H49" s="690">
        <f>transport!G58</f>
        <v>6046.8407156617977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6200.3467129284609</v>
      </c>
    </row>
    <row r="50" spans="1:18">
      <c r="A50" s="821" t="s">
        <v>307</v>
      </c>
      <c r="B50" s="831"/>
      <c r="C50" s="696">
        <f ca="1">transport!B18</f>
        <v>8.0712505985803116</v>
      </c>
      <c r="D50" s="696">
        <f>transport!C18</f>
        <v>0</v>
      </c>
      <c r="E50" s="696">
        <f>transport!D18</f>
        <v>13.916500690746544</v>
      </c>
      <c r="F50" s="696">
        <f>transport!E18</f>
        <v>491.77293075591376</v>
      </c>
      <c r="G50" s="696">
        <f>transport!F18</f>
        <v>0</v>
      </c>
      <c r="H50" s="696">
        <f>transport!G18</f>
        <v>154369.35744308666</v>
      </c>
      <c r="I50" s="696">
        <f>transport!H18</f>
        <v>25807.317827919323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180690.43595305123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161.57724786524332</v>
      </c>
      <c r="D52" s="725">
        <f t="shared" ref="D52:Q52" ca="1" si="6">SUM(D48:D51)</f>
        <v>0</v>
      </c>
      <c r="E52" s="725">
        <f t="shared" si="6"/>
        <v>13.916500690746544</v>
      </c>
      <c r="F52" s="725">
        <f t="shared" si="6"/>
        <v>491.77293075591376</v>
      </c>
      <c r="G52" s="725">
        <f t="shared" si="6"/>
        <v>0</v>
      </c>
      <c r="H52" s="725">
        <f t="shared" si="6"/>
        <v>160416.19815874845</v>
      </c>
      <c r="I52" s="725">
        <f t="shared" si="6"/>
        <v>25807.317827919323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186890.7826659797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1682.9430073242263</v>
      </c>
      <c r="D54" s="696">
        <f ca="1">+landbouw!C12</f>
        <v>6.8658542638737217</v>
      </c>
      <c r="E54" s="696">
        <f>+landbouw!D12</f>
        <v>3285.3473659052843</v>
      </c>
      <c r="F54" s="696">
        <f>+landbouw!E12</f>
        <v>25.217579740884247</v>
      </c>
      <c r="G54" s="696">
        <f>+landbouw!F12</f>
        <v>8121.2801093725975</v>
      </c>
      <c r="H54" s="696">
        <f>+landbouw!G12</f>
        <v>0</v>
      </c>
      <c r="I54" s="696">
        <f>+landbouw!H12</f>
        <v>0</v>
      </c>
      <c r="J54" s="696">
        <f>+landbouw!I12</f>
        <v>0</v>
      </c>
      <c r="K54" s="696">
        <f>+landbouw!J12</f>
        <v>469.33276175530301</v>
      </c>
      <c r="L54" s="696">
        <f>+landbouw!K12</f>
        <v>0</v>
      </c>
      <c r="M54" s="696">
        <f>+landbouw!L12</f>
        <v>0</v>
      </c>
      <c r="N54" s="696">
        <f>+landbouw!M12</f>
        <v>0</v>
      </c>
      <c r="O54" s="696">
        <f>+landbouw!N12</f>
        <v>0</v>
      </c>
      <c r="P54" s="696">
        <f>+landbouw!O12</f>
        <v>0</v>
      </c>
      <c r="Q54" s="697">
        <f>+landbouw!P12</f>
        <v>0</v>
      </c>
      <c r="R54" s="724">
        <f ca="1">SUM(C54:Q54)</f>
        <v>13590.986678362167</v>
      </c>
    </row>
    <row r="55" spans="1:18" ht="15" thickBot="1">
      <c r="A55" s="821" t="s">
        <v>872</v>
      </c>
      <c r="B55" s="831"/>
      <c r="C55" s="696">
        <f ca="1">C25*'EF ele_warmte'!B12</f>
        <v>2229.7665319418652</v>
      </c>
      <c r="D55" s="696"/>
      <c r="E55" s="696">
        <f>E25*EF_CO2_aardgas</f>
        <v>7327.5954471030172</v>
      </c>
      <c r="F55" s="696"/>
      <c r="G55" s="696"/>
      <c r="H55" s="696"/>
      <c r="I55" s="696"/>
      <c r="J55" s="696"/>
      <c r="K55" s="696"/>
      <c r="L55" s="696"/>
      <c r="M55" s="696"/>
      <c r="N55" s="696"/>
      <c r="O55" s="696"/>
      <c r="P55" s="696"/>
      <c r="Q55" s="697"/>
      <c r="R55" s="724">
        <f ca="1">SUM(C55:Q55)</f>
        <v>9557.3619790448829</v>
      </c>
    </row>
    <row r="56" spans="1:18" ht="15.75" thickBot="1">
      <c r="A56" s="819" t="s">
        <v>873</v>
      </c>
      <c r="B56" s="832"/>
      <c r="C56" s="725">
        <f ca="1">SUM(C54:C55)</f>
        <v>3912.7095392660913</v>
      </c>
      <c r="D56" s="725">
        <f t="shared" ref="D56:Q56" ca="1" si="7">SUM(D54:D55)</f>
        <v>6.8658542638737217</v>
      </c>
      <c r="E56" s="725">
        <f t="shared" si="7"/>
        <v>10612.942813008302</v>
      </c>
      <c r="F56" s="725">
        <f t="shared" si="7"/>
        <v>25.217579740884247</v>
      </c>
      <c r="G56" s="725">
        <f t="shared" si="7"/>
        <v>8121.2801093725975</v>
      </c>
      <c r="H56" s="725">
        <f t="shared" si="7"/>
        <v>0</v>
      </c>
      <c r="I56" s="725">
        <f t="shared" si="7"/>
        <v>0</v>
      </c>
      <c r="J56" s="725">
        <f t="shared" si="7"/>
        <v>0</v>
      </c>
      <c r="K56" s="725">
        <f t="shared" si="7"/>
        <v>469.33276175530301</v>
      </c>
      <c r="L56" s="725">
        <f t="shared" si="7"/>
        <v>0</v>
      </c>
      <c r="M56" s="725">
        <f t="shared" si="7"/>
        <v>0</v>
      </c>
      <c r="N56" s="725">
        <f t="shared" si="7"/>
        <v>0</v>
      </c>
      <c r="O56" s="725">
        <f t="shared" si="7"/>
        <v>0</v>
      </c>
      <c r="P56" s="725">
        <f t="shared" si="7"/>
        <v>0</v>
      </c>
      <c r="Q56" s="726">
        <f t="shared" si="7"/>
        <v>0</v>
      </c>
      <c r="R56" s="727">
        <f ca="1">SUM(R54:R55)</f>
        <v>23148.348657407048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127298.76759339494</v>
      </c>
      <c r="D61" s="733">
        <f t="shared" ref="D61:Q61" ca="1" si="8">D46+D52+D56</f>
        <v>12.108870247195473</v>
      </c>
      <c r="E61" s="733">
        <f t="shared" ca="1" si="8"/>
        <v>267731.24491465697</v>
      </c>
      <c r="F61" s="733">
        <f t="shared" si="8"/>
        <v>5536.3899826489151</v>
      </c>
      <c r="G61" s="733">
        <f t="shared" ca="1" si="8"/>
        <v>40938.441985400757</v>
      </c>
      <c r="H61" s="733">
        <f t="shared" si="8"/>
        <v>160416.19815874845</v>
      </c>
      <c r="I61" s="733">
        <f t="shared" si="8"/>
        <v>25807.317827919323</v>
      </c>
      <c r="J61" s="733">
        <f t="shared" si="8"/>
        <v>0</v>
      </c>
      <c r="K61" s="733">
        <f t="shared" si="8"/>
        <v>526.82185729976891</v>
      </c>
      <c r="L61" s="733">
        <f t="shared" si="8"/>
        <v>0</v>
      </c>
      <c r="M61" s="733">
        <f t="shared" ca="1" si="8"/>
        <v>0</v>
      </c>
      <c r="N61" s="733">
        <f t="shared" si="8"/>
        <v>0</v>
      </c>
      <c r="O61" s="733">
        <f t="shared" ca="1" si="8"/>
        <v>0</v>
      </c>
      <c r="P61" s="733">
        <f t="shared" si="8"/>
        <v>0</v>
      </c>
      <c r="Q61" s="733">
        <f t="shared" si="8"/>
        <v>0</v>
      </c>
      <c r="R61" s="733">
        <f ca="1">R46+R52+R56</f>
        <v>628267.29119031643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0.19090038739734061</v>
      </c>
      <c r="D63" s="776">
        <f t="shared" ca="1" si="9"/>
        <v>0.23302293259207782</v>
      </c>
      <c r="E63" s="1011">
        <f t="shared" ca="1" si="9"/>
        <v>0.20200000000000001</v>
      </c>
      <c r="F63" s="776">
        <f t="shared" si="9"/>
        <v>0.22700000000000001</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61829.19298</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28993.120000000003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25.125</v>
      </c>
      <c r="D76" s="1021">
        <f>'lokale energieproductie'!C8</f>
        <v>28.983669214732451</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5.8547011813759555</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90822.312980000002</v>
      </c>
      <c r="C78" s="748">
        <f>SUM(C72:C77)</f>
        <v>25.125</v>
      </c>
      <c r="D78" s="749">
        <f t="shared" ref="D78:H78" si="10">SUM(D76:D77)</f>
        <v>28.983669214732451</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5.8547011813759555</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51.964285714285715</v>
      </c>
      <c r="D87" s="770">
        <f>'lokale energieproductie'!C17</f>
        <v>59.944902213838972</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12.108870247195473</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51.964285714285715</v>
      </c>
      <c r="D90" s="748">
        <f t="shared" ref="D90:H90" si="12">SUM(D87:D89)</f>
        <v>59.944902213838972</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12.108870247195473</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61829.19298</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28993.120000000003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25.125</v>
      </c>
      <c r="C8" s="560">
        <f>B101</f>
        <v>28.983669214732451</v>
      </c>
      <c r="D8" s="1028"/>
      <c r="E8" s="1028">
        <f>E101</f>
        <v>0</v>
      </c>
      <c r="F8" s="1029"/>
      <c r="G8" s="561"/>
      <c r="H8" s="1028">
        <f>I101</f>
        <v>0</v>
      </c>
      <c r="I8" s="1028">
        <f>G101+F101</f>
        <v>0</v>
      </c>
      <c r="J8" s="1028">
        <f>H101+D101+C101</f>
        <v>0</v>
      </c>
      <c r="K8" s="1028"/>
      <c r="L8" s="1028"/>
      <c r="M8" s="1028"/>
      <c r="N8" s="562"/>
      <c r="O8" s="563">
        <f>C8*$C$12+D8*$D$12+E8*$E$12+F8*$F$12+G8*$G$12+H8*$H$12+I8*$I$12+J8*$J$12</f>
        <v>5.8547011813759555</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90847.437980000002</v>
      </c>
      <c r="C10" s="573">
        <f t="shared" ref="C10:L10" si="0">SUM(C8:C9)</f>
        <v>28.983669214732451</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5.8547011813759555</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51.964285714285715</v>
      </c>
      <c r="C17" s="585">
        <f>B102</f>
        <v>59.944902213838972</v>
      </c>
      <c r="D17" s="586"/>
      <c r="E17" s="586">
        <f>E102</f>
        <v>0</v>
      </c>
      <c r="F17" s="1034"/>
      <c r="G17" s="587"/>
      <c r="H17" s="585">
        <f>I102</f>
        <v>0</v>
      </c>
      <c r="I17" s="586">
        <f>G102+F102</f>
        <v>0</v>
      </c>
      <c r="J17" s="586">
        <f>H102+D102+C102</f>
        <v>0</v>
      </c>
      <c r="K17" s="586"/>
      <c r="L17" s="586"/>
      <c r="M17" s="586"/>
      <c r="N17" s="1035"/>
      <c r="O17" s="588">
        <f>C17*$C$22+E17*$E$22+H17*$H$22+I17*$I$22+J17*$J$22+D17*$D$22+F17*$F$22+G17*$G$22+K17*$K$22+L17*$L$22</f>
        <v>12.108870247195473</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51.964285714285715</v>
      </c>
      <c r="C20" s="572">
        <f>SUM(C17:C19)</f>
        <v>59.944902213838972</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12.108870247195473</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31005</v>
      </c>
      <c r="C28" s="791">
        <v>8200</v>
      </c>
      <c r="D28" s="644" t="s">
        <v>913</v>
      </c>
      <c r="E28" s="643" t="s">
        <v>914</v>
      </c>
      <c r="F28" s="643" t="s">
        <v>915</v>
      </c>
      <c r="G28" s="643" t="s">
        <v>916</v>
      </c>
      <c r="H28" s="643" t="s">
        <v>916</v>
      </c>
      <c r="I28" s="643" t="s">
        <v>914</v>
      </c>
      <c r="J28" s="790">
        <v>40515</v>
      </c>
      <c r="K28" s="790">
        <v>40634</v>
      </c>
      <c r="L28" s="643" t="s">
        <v>917</v>
      </c>
      <c r="M28" s="643">
        <v>1</v>
      </c>
      <c r="N28" s="643">
        <v>4.5</v>
      </c>
      <c r="O28" s="643">
        <v>22.5</v>
      </c>
      <c r="P28" s="643">
        <v>30</v>
      </c>
      <c r="Q28" s="643">
        <v>0</v>
      </c>
      <c r="R28" s="643">
        <v>0</v>
      </c>
      <c r="S28" s="643">
        <v>0</v>
      </c>
      <c r="T28" s="643">
        <v>0</v>
      </c>
      <c r="U28" s="643">
        <v>0</v>
      </c>
      <c r="V28" s="643">
        <v>0</v>
      </c>
      <c r="W28" s="643">
        <v>0</v>
      </c>
      <c r="X28" s="643">
        <v>1600</v>
      </c>
      <c r="Y28" s="643" t="s">
        <v>50</v>
      </c>
      <c r="Z28" s="645" t="s">
        <v>156</v>
      </c>
    </row>
    <row r="29" spans="1:26" s="597" customFormat="1" ht="25.5">
      <c r="A29" s="596"/>
      <c r="B29" s="791">
        <v>31005</v>
      </c>
      <c r="C29" s="791">
        <v>8000</v>
      </c>
      <c r="D29" s="644" t="s">
        <v>918</v>
      </c>
      <c r="E29" s="643" t="s">
        <v>919</v>
      </c>
      <c r="F29" s="643" t="s">
        <v>920</v>
      </c>
      <c r="G29" s="643" t="s">
        <v>921</v>
      </c>
      <c r="H29" s="643" t="s">
        <v>922</v>
      </c>
      <c r="I29" s="643" t="s">
        <v>919</v>
      </c>
      <c r="J29" s="790">
        <v>41207</v>
      </c>
      <c r="K29" s="790">
        <v>41306</v>
      </c>
      <c r="L29" s="643" t="s">
        <v>917</v>
      </c>
      <c r="M29" s="643">
        <v>5.5</v>
      </c>
      <c r="N29" s="643">
        <v>20.625</v>
      </c>
      <c r="O29" s="643">
        <v>29.464285714285715</v>
      </c>
      <c r="P29" s="643">
        <v>58.928571428571431</v>
      </c>
      <c r="Q29" s="643">
        <v>0</v>
      </c>
      <c r="R29" s="643">
        <v>0</v>
      </c>
      <c r="S29" s="643">
        <v>0</v>
      </c>
      <c r="T29" s="643">
        <v>0</v>
      </c>
      <c r="U29" s="643">
        <v>0</v>
      </c>
      <c r="V29" s="643">
        <v>0</v>
      </c>
      <c r="W29" s="643">
        <v>0</v>
      </c>
      <c r="X29" s="643">
        <v>10</v>
      </c>
      <c r="Y29" s="643" t="s">
        <v>112</v>
      </c>
      <c r="Z29" s="645" t="s">
        <v>112</v>
      </c>
    </row>
    <row r="30" spans="1:26" s="597" customFormat="1" ht="12.75">
      <c r="A30" s="596"/>
      <c r="B30" s="791">
        <v>31005</v>
      </c>
      <c r="C30" s="791">
        <v>8000</v>
      </c>
      <c r="D30" s="644" t="s">
        <v>923</v>
      </c>
      <c r="E30" s="643" t="s">
        <v>924</v>
      </c>
      <c r="F30" s="643" t="s">
        <v>925</v>
      </c>
      <c r="G30" s="643" t="s">
        <v>916</v>
      </c>
      <c r="H30" s="643" t="s">
        <v>916</v>
      </c>
      <c r="I30" s="643" t="s">
        <v>924</v>
      </c>
      <c r="J30" s="790">
        <v>41624</v>
      </c>
      <c r="K30" s="790">
        <v>41619</v>
      </c>
      <c r="L30" s="643" t="s">
        <v>917</v>
      </c>
      <c r="M30" s="643">
        <v>1</v>
      </c>
      <c r="N30" s="643">
        <v>0</v>
      </c>
      <c r="O30" s="643">
        <v>0</v>
      </c>
      <c r="P30" s="643">
        <v>0</v>
      </c>
      <c r="Q30" s="643">
        <v>0</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7.5</v>
      </c>
      <c r="N58" s="601">
        <f>SUM(N28:N57)</f>
        <v>25.125</v>
      </c>
      <c r="O58" s="601">
        <f t="shared" ref="O58:W58" si="2">SUM(O28:O57)</f>
        <v>51.964285714285715</v>
      </c>
      <c r="P58" s="601">
        <f t="shared" si="2"/>
        <v>88.928571428571431</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v>
      </c>
      <c r="N60" s="601">
        <f ca="1">SUMIF($Z$28:AD57,"tertiair",N28:N57)</f>
        <v>4.5</v>
      </c>
      <c r="O60" s="601">
        <f ca="1">SUMIF($Z$28:AE57,"tertiair",O28:O57)</f>
        <v>22.5</v>
      </c>
      <c r="P60" s="601">
        <f ca="1">SUMIF($Z$28:AF57,"tertiair",P28:P57)</f>
        <v>30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6.5</v>
      </c>
      <c r="N61" s="606">
        <f t="shared" si="4"/>
        <v>20.625</v>
      </c>
      <c r="O61" s="606">
        <f t="shared" si="4"/>
        <v>29.464285714285715</v>
      </c>
      <c r="P61" s="606">
        <f t="shared" si="4"/>
        <v>58.928571428571431</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0.67407922168172341</v>
      </c>
      <c r="C98" s="626">
        <f>IF(ISERROR(N58/(O58+N58)),0,N58/(N58+O58))</f>
        <v>0.32592077831827654</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28.983669214732451</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59.944902213838972</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201403.89126681781</v>
      </c>
      <c r="C4" s="462">
        <f>huishoudens!C8</f>
        <v>0</v>
      </c>
      <c r="D4" s="462">
        <f>huishoudens!D8</f>
        <v>681451.35783511982</v>
      </c>
      <c r="E4" s="462">
        <f>huishoudens!E8</f>
        <v>8053.1176220836742</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56271.397386116863</v>
      </c>
      <c r="O4" s="462">
        <f>huishoudens!O8</f>
        <v>708.19</v>
      </c>
      <c r="P4" s="463">
        <f>huishoudens!P8</f>
        <v>762.66666666666674</v>
      </c>
      <c r="Q4" s="464">
        <f>SUM(B4:P4)</f>
        <v>948650.62077680475</v>
      </c>
    </row>
    <row r="5" spans="1:17">
      <c r="A5" s="461" t="s">
        <v>156</v>
      </c>
      <c r="B5" s="462">
        <f ca="1">tertiair!B16</f>
        <v>326139.27244173241</v>
      </c>
      <c r="C5" s="462">
        <f ca="1">tertiair!C16</f>
        <v>22.5</v>
      </c>
      <c r="D5" s="462">
        <f ca="1">tertiair!D16</f>
        <v>404539.84003354947</v>
      </c>
      <c r="E5" s="462">
        <f>tertiair!E16</f>
        <v>4701.3681515960989</v>
      </c>
      <c r="F5" s="462">
        <f ca="1">tertiair!F16</f>
        <v>65245.633006832242</v>
      </c>
      <c r="G5" s="462">
        <f>tertiair!G16</f>
        <v>0</v>
      </c>
      <c r="H5" s="462">
        <f>tertiair!H16</f>
        <v>0</v>
      </c>
      <c r="I5" s="462">
        <f>tertiair!I16</f>
        <v>0</v>
      </c>
      <c r="J5" s="462">
        <f>tertiair!J16</f>
        <v>0</v>
      </c>
      <c r="K5" s="462">
        <f>tertiair!K16</f>
        <v>0</v>
      </c>
      <c r="L5" s="462">
        <f ca="1">tertiair!L16</f>
        <v>0</v>
      </c>
      <c r="M5" s="462">
        <f>tertiair!M16</f>
        <v>0</v>
      </c>
      <c r="N5" s="462">
        <f ca="1">tertiair!N16</f>
        <v>23918.628542694994</v>
      </c>
      <c r="O5" s="462">
        <f>tertiair!O16</f>
        <v>12.506666666666668</v>
      </c>
      <c r="P5" s="463">
        <f>tertiair!P16</f>
        <v>305.06666666666666</v>
      </c>
      <c r="Q5" s="461">
        <f t="shared" ref="Q5:Q14" ca="1" si="0">SUM(B5:P5)</f>
        <v>824884.8155097384</v>
      </c>
    </row>
    <row r="6" spans="1:17">
      <c r="A6" s="461" t="s">
        <v>194</v>
      </c>
      <c r="B6" s="462">
        <f>'openbare verlichting'!B8</f>
        <v>8394.6370000000006</v>
      </c>
      <c r="C6" s="462"/>
      <c r="D6" s="462"/>
      <c r="E6" s="462"/>
      <c r="F6" s="462"/>
      <c r="G6" s="462"/>
      <c r="H6" s="462"/>
      <c r="I6" s="462"/>
      <c r="J6" s="462"/>
      <c r="K6" s="462"/>
      <c r="L6" s="462"/>
      <c r="M6" s="462"/>
      <c r="N6" s="462"/>
      <c r="O6" s="462"/>
      <c r="P6" s="463"/>
      <c r="Q6" s="461">
        <f t="shared" si="0"/>
        <v>8394.6370000000006</v>
      </c>
    </row>
    <row r="7" spans="1:17">
      <c r="A7" s="461" t="s">
        <v>112</v>
      </c>
      <c r="B7" s="462">
        <f>landbouw!B8</f>
        <v>8815.8176642216204</v>
      </c>
      <c r="C7" s="462">
        <f>landbouw!C8</f>
        <v>29.464285714285715</v>
      </c>
      <c r="D7" s="462">
        <f>landbouw!D8</f>
        <v>16264.095870818237</v>
      </c>
      <c r="E7" s="462">
        <f>landbouw!E8</f>
        <v>111.09065965147245</v>
      </c>
      <c r="F7" s="462">
        <f>landbouw!F8</f>
        <v>30416.779435852422</v>
      </c>
      <c r="G7" s="462">
        <f>landbouw!G8</f>
        <v>0</v>
      </c>
      <c r="H7" s="462">
        <f>landbouw!H8</f>
        <v>0</v>
      </c>
      <c r="I7" s="462">
        <f>landbouw!I8</f>
        <v>0</v>
      </c>
      <c r="J7" s="462">
        <f>landbouw!J8</f>
        <v>1325.79876202063</v>
      </c>
      <c r="K7" s="462">
        <f>landbouw!K8</f>
        <v>0</v>
      </c>
      <c r="L7" s="462">
        <f>landbouw!L8</f>
        <v>0</v>
      </c>
      <c r="M7" s="462">
        <f>landbouw!M8</f>
        <v>0</v>
      </c>
      <c r="N7" s="462">
        <f>landbouw!N8</f>
        <v>0</v>
      </c>
      <c r="O7" s="462">
        <f>landbouw!O8</f>
        <v>0</v>
      </c>
      <c r="P7" s="463">
        <f>landbouw!P8</f>
        <v>0</v>
      </c>
      <c r="Q7" s="461">
        <f t="shared" si="0"/>
        <v>56963.046678278675</v>
      </c>
    </row>
    <row r="8" spans="1:17">
      <c r="A8" s="461" t="s">
        <v>657</v>
      </c>
      <c r="B8" s="462">
        <f>industrie!B18</f>
        <v>109553.19323995235</v>
      </c>
      <c r="C8" s="462">
        <f>industrie!C18</f>
        <v>0</v>
      </c>
      <c r="D8" s="462">
        <f>industrie!D18</f>
        <v>186802.79025488469</v>
      </c>
      <c r="E8" s="462">
        <f>industrie!E18</f>
        <v>9357.406174126907</v>
      </c>
      <c r="F8" s="462">
        <f>industrie!F18</f>
        <v>57665.085629977337</v>
      </c>
      <c r="G8" s="462">
        <f>industrie!G18</f>
        <v>0</v>
      </c>
      <c r="H8" s="462">
        <f>industrie!H18</f>
        <v>0</v>
      </c>
      <c r="I8" s="462">
        <f>industrie!I18</f>
        <v>0</v>
      </c>
      <c r="J8" s="462">
        <f>industrie!J18</f>
        <v>162.39857498436712</v>
      </c>
      <c r="K8" s="462">
        <f>industrie!K18</f>
        <v>0</v>
      </c>
      <c r="L8" s="462">
        <f>industrie!L18</f>
        <v>0</v>
      </c>
      <c r="M8" s="462">
        <f>industrie!M18</f>
        <v>0</v>
      </c>
      <c r="N8" s="462">
        <f>industrie!N18</f>
        <v>31249.564888033921</v>
      </c>
      <c r="O8" s="462">
        <f>industrie!O18</f>
        <v>0</v>
      </c>
      <c r="P8" s="463">
        <f>industrie!P18</f>
        <v>0</v>
      </c>
      <c r="Q8" s="461">
        <f t="shared" si="0"/>
        <v>394790.43876195955</v>
      </c>
    </row>
    <row r="9" spans="1:17" s="467" customFormat="1">
      <c r="A9" s="465" t="s">
        <v>574</v>
      </c>
      <c r="B9" s="466">
        <f>transport!B14</f>
        <v>42.27990685938623</v>
      </c>
      <c r="C9" s="466">
        <f>transport!C14</f>
        <v>0</v>
      </c>
      <c r="D9" s="466">
        <f>transport!D14</f>
        <v>68.893567775972983</v>
      </c>
      <c r="E9" s="466">
        <f>transport!E14</f>
        <v>2166.4005760172413</v>
      </c>
      <c r="F9" s="466">
        <f>transport!F14</f>
        <v>0</v>
      </c>
      <c r="G9" s="466">
        <f>transport!G14</f>
        <v>578162.38742729079</v>
      </c>
      <c r="H9" s="466">
        <f>transport!H14</f>
        <v>103643.84669847118</v>
      </c>
      <c r="I9" s="466">
        <f>transport!I14</f>
        <v>0</v>
      </c>
      <c r="J9" s="466">
        <f>transport!J14</f>
        <v>0</v>
      </c>
      <c r="K9" s="466">
        <f>transport!K14</f>
        <v>0</v>
      </c>
      <c r="L9" s="466">
        <f>transport!L14</f>
        <v>0</v>
      </c>
      <c r="M9" s="466">
        <f>transport!M14</f>
        <v>30821.714810715872</v>
      </c>
      <c r="N9" s="466">
        <f>transport!N14</f>
        <v>0</v>
      </c>
      <c r="O9" s="466">
        <f>transport!O14</f>
        <v>0</v>
      </c>
      <c r="P9" s="466">
        <f>transport!P14</f>
        <v>0</v>
      </c>
      <c r="Q9" s="465">
        <f>SUM(B9:P9)</f>
        <v>714905.52298713045</v>
      </c>
    </row>
    <row r="10" spans="1:17">
      <c r="A10" s="461" t="s">
        <v>564</v>
      </c>
      <c r="B10" s="462">
        <f>transport!B54</f>
        <v>804.11569279403886</v>
      </c>
      <c r="C10" s="462">
        <f>transport!C54</f>
        <v>0</v>
      </c>
      <c r="D10" s="462">
        <f>transport!D54</f>
        <v>0</v>
      </c>
      <c r="E10" s="462">
        <f>transport!E54</f>
        <v>0</v>
      </c>
      <c r="F10" s="462">
        <f>transport!F54</f>
        <v>0</v>
      </c>
      <c r="G10" s="462">
        <f>transport!G54</f>
        <v>22647.343504351302</v>
      </c>
      <c r="H10" s="462">
        <f>transport!H54</f>
        <v>0</v>
      </c>
      <c r="I10" s="462">
        <f>transport!I54</f>
        <v>0</v>
      </c>
      <c r="J10" s="462">
        <f>transport!J54</f>
        <v>0</v>
      </c>
      <c r="K10" s="462">
        <f>transport!K54</f>
        <v>0</v>
      </c>
      <c r="L10" s="462">
        <f>transport!L54</f>
        <v>0</v>
      </c>
      <c r="M10" s="462">
        <f>transport!M54</f>
        <v>1007.1827591469067</v>
      </c>
      <c r="N10" s="462">
        <f>transport!N54</f>
        <v>0</v>
      </c>
      <c r="O10" s="462">
        <f>transport!O54</f>
        <v>0</v>
      </c>
      <c r="P10" s="463">
        <f>transport!P54</f>
        <v>0</v>
      </c>
      <c r="Q10" s="461">
        <f t="shared" si="0"/>
        <v>24458.641956292249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11680.261954109199</v>
      </c>
      <c r="C14" s="469"/>
      <c r="D14" s="469">
        <f>'SEAP template'!E25</f>
        <v>36275.224985658497</v>
      </c>
      <c r="E14" s="469"/>
      <c r="F14" s="469"/>
      <c r="G14" s="469"/>
      <c r="H14" s="469"/>
      <c r="I14" s="469"/>
      <c r="J14" s="469"/>
      <c r="K14" s="469"/>
      <c r="L14" s="469"/>
      <c r="M14" s="469"/>
      <c r="N14" s="469"/>
      <c r="O14" s="469"/>
      <c r="P14" s="470"/>
      <c r="Q14" s="461">
        <f t="shared" si="0"/>
        <v>47955.486939767696</v>
      </c>
    </row>
    <row r="15" spans="1:17" s="474" customFormat="1">
      <c r="A15" s="471" t="s">
        <v>568</v>
      </c>
      <c r="B15" s="472">
        <f ca="1">SUM(B4:B14)</f>
        <v>666833.46916648676</v>
      </c>
      <c r="C15" s="472">
        <f t="shared" ref="C15:Q15" ca="1" si="1">SUM(C4:C14)</f>
        <v>51.964285714285715</v>
      </c>
      <c r="D15" s="472">
        <f t="shared" ca="1" si="1"/>
        <v>1325402.2025478068</v>
      </c>
      <c r="E15" s="472">
        <f t="shared" si="1"/>
        <v>24389.383183475391</v>
      </c>
      <c r="F15" s="472">
        <f t="shared" ca="1" si="1"/>
        <v>153327.49807266201</v>
      </c>
      <c r="G15" s="472">
        <f t="shared" si="1"/>
        <v>600809.73093164212</v>
      </c>
      <c r="H15" s="472">
        <f t="shared" si="1"/>
        <v>103643.84669847118</v>
      </c>
      <c r="I15" s="472">
        <f t="shared" si="1"/>
        <v>0</v>
      </c>
      <c r="J15" s="472">
        <f t="shared" si="1"/>
        <v>1488.1973370049971</v>
      </c>
      <c r="K15" s="472">
        <f t="shared" si="1"/>
        <v>0</v>
      </c>
      <c r="L15" s="472">
        <f t="shared" ca="1" si="1"/>
        <v>0</v>
      </c>
      <c r="M15" s="472">
        <f t="shared" si="1"/>
        <v>31828.89756986278</v>
      </c>
      <c r="N15" s="472">
        <f t="shared" ca="1" si="1"/>
        <v>111439.59081684577</v>
      </c>
      <c r="O15" s="472">
        <f t="shared" si="1"/>
        <v>720.69666666666672</v>
      </c>
      <c r="P15" s="472">
        <f t="shared" si="1"/>
        <v>1067.7333333333333</v>
      </c>
      <c r="Q15" s="472">
        <f t="shared" ca="1" si="1"/>
        <v>3021003.2106099715</v>
      </c>
    </row>
    <row r="17" spans="1:17">
      <c r="A17" s="475" t="s">
        <v>569</v>
      </c>
      <c r="B17" s="781">
        <f ca="1">huishoudens!B10</f>
        <v>0.19090038739734067</v>
      </c>
      <c r="C17" s="781">
        <f ca="1">huishoudens!C10</f>
        <v>0.23302293259207782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38448.080866167395</v>
      </c>
      <c r="C22" s="462">
        <f t="shared" ref="C22:C32" ca="1" si="3">C4*$C$17</f>
        <v>0</v>
      </c>
      <c r="D22" s="462">
        <f t="shared" ref="D22:D32" si="4">D4*$D$17</f>
        <v>137653.17428269421</v>
      </c>
      <c r="E22" s="462">
        <f t="shared" ref="E22:E32" si="5">E4*$E$17</f>
        <v>1828.0577002129942</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177929.3128490746</v>
      </c>
    </row>
    <row r="23" spans="1:17">
      <c r="A23" s="461" t="s">
        <v>156</v>
      </c>
      <c r="B23" s="462">
        <f t="shared" ca="1" si="2"/>
        <v>62260.113454613544</v>
      </c>
      <c r="C23" s="462">
        <f t="shared" ca="1" si="3"/>
        <v>5.2430159833217509</v>
      </c>
      <c r="D23" s="462">
        <f t="shared" ca="1" si="4"/>
        <v>81717.04768677699</v>
      </c>
      <c r="E23" s="462">
        <f t="shared" si="5"/>
        <v>1067.2105704123144</v>
      </c>
      <c r="F23" s="462">
        <f t="shared" ca="1" si="6"/>
        <v>17420.584012824209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162470.19874061036</v>
      </c>
    </row>
    <row r="24" spans="1:17">
      <c r="A24" s="461" t="s">
        <v>194</v>
      </c>
      <c r="B24" s="462">
        <f t="shared" ca="1" si="2"/>
        <v>1602.5394553600497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1602.5394553600497</v>
      </c>
    </row>
    <row r="25" spans="1:17">
      <c r="A25" s="461" t="s">
        <v>112</v>
      </c>
      <c r="B25" s="462">
        <f t="shared" ca="1" si="2"/>
        <v>1682.9430073242263</v>
      </c>
      <c r="C25" s="462">
        <f t="shared" ca="1" si="3"/>
        <v>6.8658542638737217</v>
      </c>
      <c r="D25" s="462">
        <f t="shared" si="4"/>
        <v>3285.3473659052843</v>
      </c>
      <c r="E25" s="462">
        <f t="shared" si="5"/>
        <v>25.217579740884247</v>
      </c>
      <c r="F25" s="462">
        <f t="shared" si="6"/>
        <v>8121.2801093725975</v>
      </c>
      <c r="G25" s="462">
        <f t="shared" si="7"/>
        <v>0</v>
      </c>
      <c r="H25" s="462">
        <f t="shared" si="8"/>
        <v>0</v>
      </c>
      <c r="I25" s="462">
        <f t="shared" si="9"/>
        <v>0</v>
      </c>
      <c r="J25" s="462">
        <f t="shared" si="10"/>
        <v>469.33276175530301</v>
      </c>
      <c r="K25" s="462">
        <f t="shared" si="11"/>
        <v>0</v>
      </c>
      <c r="L25" s="462">
        <f t="shared" si="12"/>
        <v>0</v>
      </c>
      <c r="M25" s="462">
        <f t="shared" si="13"/>
        <v>0</v>
      </c>
      <c r="N25" s="462">
        <f t="shared" si="14"/>
        <v>0</v>
      </c>
      <c r="O25" s="462">
        <f t="shared" si="15"/>
        <v>0</v>
      </c>
      <c r="P25" s="463">
        <f t="shared" si="16"/>
        <v>0</v>
      </c>
      <c r="Q25" s="461">
        <f t="shared" ca="1" si="17"/>
        <v>13590.986678362167</v>
      </c>
    </row>
    <row r="26" spans="1:17">
      <c r="A26" s="461" t="s">
        <v>657</v>
      </c>
      <c r="B26" s="462">
        <f t="shared" ca="1" si="2"/>
        <v>20913.747030122628</v>
      </c>
      <c r="C26" s="462">
        <f t="shared" ca="1" si="3"/>
        <v>0</v>
      </c>
      <c r="D26" s="462">
        <f t="shared" si="4"/>
        <v>37734.163631486706</v>
      </c>
      <c r="E26" s="462">
        <f t="shared" si="5"/>
        <v>2124.1312015268081</v>
      </c>
      <c r="F26" s="462">
        <f t="shared" si="6"/>
        <v>15396.577863203949</v>
      </c>
      <c r="G26" s="462">
        <f t="shared" si="7"/>
        <v>0</v>
      </c>
      <c r="H26" s="462">
        <f t="shared" si="8"/>
        <v>0</v>
      </c>
      <c r="I26" s="462">
        <f t="shared" si="9"/>
        <v>0</v>
      </c>
      <c r="J26" s="462">
        <f t="shared" si="10"/>
        <v>57.489095544465954</v>
      </c>
      <c r="K26" s="462">
        <f t="shared" si="11"/>
        <v>0</v>
      </c>
      <c r="L26" s="462">
        <f t="shared" si="12"/>
        <v>0</v>
      </c>
      <c r="M26" s="462">
        <f t="shared" si="13"/>
        <v>0</v>
      </c>
      <c r="N26" s="462">
        <f t="shared" si="14"/>
        <v>0</v>
      </c>
      <c r="O26" s="462">
        <f t="shared" si="15"/>
        <v>0</v>
      </c>
      <c r="P26" s="463">
        <f t="shared" si="16"/>
        <v>0</v>
      </c>
      <c r="Q26" s="461">
        <f t="shared" ca="1" si="17"/>
        <v>76226.108821884554</v>
      </c>
    </row>
    <row r="27" spans="1:17" s="467" customFormat="1">
      <c r="A27" s="465" t="s">
        <v>574</v>
      </c>
      <c r="B27" s="775">
        <f t="shared" ca="1" si="2"/>
        <v>8.0712505985803116</v>
      </c>
      <c r="C27" s="466">
        <f t="shared" ca="1" si="3"/>
        <v>0</v>
      </c>
      <c r="D27" s="466">
        <f t="shared" si="4"/>
        <v>13.916500690746544</v>
      </c>
      <c r="E27" s="466">
        <f t="shared" si="5"/>
        <v>491.77293075591376</v>
      </c>
      <c r="F27" s="466">
        <f t="shared" si="6"/>
        <v>0</v>
      </c>
      <c r="G27" s="466">
        <f t="shared" si="7"/>
        <v>154369.35744308666</v>
      </c>
      <c r="H27" s="466">
        <f t="shared" si="8"/>
        <v>25807.317827919323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180690.43595305123</v>
      </c>
    </row>
    <row r="28" spans="1:17">
      <c r="A28" s="461" t="s">
        <v>564</v>
      </c>
      <c r="B28" s="462">
        <f t="shared" ca="1" si="2"/>
        <v>153.505997266663</v>
      </c>
      <c r="C28" s="462">
        <f t="shared" ca="1" si="3"/>
        <v>0</v>
      </c>
      <c r="D28" s="462">
        <f t="shared" si="4"/>
        <v>0</v>
      </c>
      <c r="E28" s="462">
        <f t="shared" si="5"/>
        <v>0</v>
      </c>
      <c r="F28" s="462">
        <f t="shared" si="6"/>
        <v>0</v>
      </c>
      <c r="G28" s="462">
        <f t="shared" si="7"/>
        <v>6046.8407156617977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6200.3467129284609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2229.7665319418652</v>
      </c>
      <c r="C32" s="462">
        <f t="shared" ca="1" si="3"/>
        <v>0</v>
      </c>
      <c r="D32" s="462">
        <f t="shared" si="4"/>
        <v>7327.5954471030172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9557.3619790448829</v>
      </c>
    </row>
    <row r="33" spans="1:17" s="474" customFormat="1">
      <c r="A33" s="471" t="s">
        <v>568</v>
      </c>
      <c r="B33" s="472">
        <f ca="1">SUM(B22:B32)</f>
        <v>127298.76759339495</v>
      </c>
      <c r="C33" s="472">
        <f t="shared" ref="C33:Q33" ca="1" si="18">SUM(C22:C32)</f>
        <v>12.108870247195473</v>
      </c>
      <c r="D33" s="472">
        <f t="shared" ca="1" si="18"/>
        <v>267731.24491465697</v>
      </c>
      <c r="E33" s="472">
        <f t="shared" si="18"/>
        <v>5536.3899826489151</v>
      </c>
      <c r="F33" s="472">
        <f t="shared" ca="1" si="18"/>
        <v>40938.441985400757</v>
      </c>
      <c r="G33" s="472">
        <f t="shared" si="18"/>
        <v>160416.19815874845</v>
      </c>
      <c r="H33" s="472">
        <f t="shared" si="18"/>
        <v>25807.317827919323</v>
      </c>
      <c r="I33" s="472">
        <f t="shared" si="18"/>
        <v>0</v>
      </c>
      <c r="J33" s="472">
        <f t="shared" si="18"/>
        <v>526.82185729976891</v>
      </c>
      <c r="K33" s="472">
        <f t="shared" si="18"/>
        <v>0</v>
      </c>
      <c r="L33" s="472">
        <f t="shared" ca="1" si="18"/>
        <v>0</v>
      </c>
      <c r="M33" s="472">
        <f t="shared" si="18"/>
        <v>0</v>
      </c>
      <c r="N33" s="472">
        <f t="shared" ca="1" si="18"/>
        <v>0</v>
      </c>
      <c r="O33" s="472">
        <f t="shared" si="18"/>
        <v>0</v>
      </c>
      <c r="P33" s="472">
        <f t="shared" si="18"/>
        <v>0</v>
      </c>
      <c r="Q33" s="472">
        <f t="shared" ca="1" si="18"/>
        <v>628267.29119031632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61829.19298</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28993.120000000003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25.125</v>
      </c>
      <c r="D8" s="1047">
        <f>'SEAP template'!D76</f>
        <v>28.983669214732451</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5.8547011813759555</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90822.312980000002</v>
      </c>
      <c r="C10" s="1051">
        <f>SUM(C4:C9)</f>
        <v>25.125</v>
      </c>
      <c r="D10" s="1051">
        <f t="shared" ref="D10:H10" si="0">SUM(D8:D9)</f>
        <v>28.983669214732451</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5.8547011813759555</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0.19090038739734067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51.964285714285715</v>
      </c>
      <c r="D17" s="1048">
        <f>'SEAP template'!D87</f>
        <v>59.944902213838972</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12.108870247195473</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51.964285714285715</v>
      </c>
      <c r="D20" s="1051">
        <f t="shared" ref="D20:H20" si="2">SUM(D17:D19)</f>
        <v>59.944902213838972</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12.108870247195473</v>
      </c>
    </row>
    <row r="22" spans="1:16">
      <c r="A22" s="475" t="s">
        <v>895</v>
      </c>
      <c r="B22" s="781" t="s">
        <v>889</v>
      </c>
      <c r="C22" s="781">
        <f ca="1">'EF ele_warmte'!B22</f>
        <v>0.23302293259207782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0.19090038739734067</v>
      </c>
      <c r="C17" s="512">
        <f ca="1">'EF ele_warmte'!B22</f>
        <v>0.23302293259207782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3</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4.6900000000000004</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2019-08-12T08:02:34Z</dcterms:modified>
</cp:coreProperties>
</file>