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<sst xmlns="http://schemas.openxmlformats.org/spreadsheetml/2006/main" count="2432" uniqueCount="913">
  <si>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</si>
  <si>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</si>
  <si>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</si>
  <si>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</si>
  <si>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</si>
  <si>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</si>
  <si>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</si>
  <si>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</si>
  <si>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</si>
  <si>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</si>
  <si>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</si>
  <si>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</si>
  <si>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</si>
  <si>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</si>
  <si>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</si>
  <si>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</si>
  <si>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</si>
  <si>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</si>
  <si>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</si>
  <si>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</si>
  <si>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</si>
  <si>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</si>
  <si>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</si>
  <si>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</si>
  <si>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</si>
  <si>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</si>
  <si>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</si>
  <si>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</si>
  <si>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</si>
  <si>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</si>
  <si>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</si>
  <si>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</si>
  <si>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</si>
  <si>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</si>
  <si>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</si>
  <si>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</si>
  <si>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</si>
  <si>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</si>
  <si>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</si>
  <si>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</si>
  <si>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</si>
  <si>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</si>
  <si>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</si>
  <si>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</si>
  <si>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</si>
  <si>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</si>
  <si>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</si>
  <si>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</si>
  <si>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</si>
  <si>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</si>
  <si>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</si>
  <si>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</si>
  <si>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</si>
  <si>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</si>
  <si>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</si>
  <si>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</si>
  <si>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</si>
  <si>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</si>
  <si>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</si>
  <si>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</si>
  <si>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</si>
  <si>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</si>
  <si>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</si>
  <si>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</si>
  <si>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</si>
  <si>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</si>
  <si>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</si>
  <si>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</si>
  <si>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</si>
  <si>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</si>
  <si>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</si>
  <si>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</si>
  <si>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</si>
  <si>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</si>
  <si>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</si>
  <si>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</si>
  <si>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</si>
  <si>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</si>
  <si>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</si>
  <si>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</si>
  <si>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</si>
  <si>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</si>
  <si>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</si>
  <si>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</si>
  <si>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</si>
  <si>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</si>
  <si>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</si>
  <si>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</si>
  <si>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</si>
  <si>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</si>
  <si>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</si>
  <si>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</si>
  <si>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</si>
  <si>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</si>
  <si>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</si>
  <si>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</si>
  <si>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</si>
  <si>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</si>
  <si>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</si>
  <si>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</si>
  <si>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</si>
  <si>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</si>
  <si>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</si>
  <si>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</si>
  <si>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</si>
  <si>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</si>
  <si>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</si>
  <si>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</si>
  <si>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</si>
  <si>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</si>
  <si>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</si>
  <si>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</si>
  <si>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</si>
  <si>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</si>
  <si>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</si>
  <si>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</si>
  <si>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</si>
  <si>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</si>
  <si>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</si>
  <si>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</si>
  <si>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</si>
  <si>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</si>
  <si>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</si>
  <si>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</si>
  <si>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</si>
  <si>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</si>
  <si>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</si>
  <si>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</si>
  <si>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</si>
  <si>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</si>
  <si>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</si>
  <si>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</si>
  <si>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</si>
  <si>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</si>
  <si>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</si>
  <si>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</si>
  <si>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</si>
  <si>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</si>
  <si>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</si>
  <si>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</si>
  <si>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</si>
  <si>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</si>
  <si>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</si>
  <si>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</si>
  <si>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</si>
  <si>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</si>
  <si>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</si>
  <si>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</si>
  <si>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</si>
  <si>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</si>
  <si>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</si>
  <si>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</si>
  <si>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</si>
  <si>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</si>
  <si>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</si>
  <si>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</si>
  <si>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</si>
  <si>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</si>
  <si>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</si>
  <si>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</si>
  <si>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</si>
  <si>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</si>
  <si>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</si>
  <si>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</si>
  <si>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</si>
  <si>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</si>
  <si>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</si>
  <si>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</si>
  <si>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</si>
  <si>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</si>
  <si>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</si>
  <si>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</si>
  <si>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</si>
  <si>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</si>
  <si>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</si>
  <si>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</si>
  <si>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</si>
  <si>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</si>
  <si>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</si>
  <si>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</si>
  <si>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</si>
  <si>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</si>
  <si>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</si>
  <si>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</si>
  <si>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</si>
  <si>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</si>
  <si>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</si>
  <si>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</si>
  <si>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</si>
  <si>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</si>
  <si>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</si>
  <si>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</si>
  <si>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</si>
  <si>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</si>
  <si>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</si>
  <si>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</si>
  <si>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</si>
  <si>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</si>
  <si>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</si>
  <si>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</si>
  <si>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</si>
  <si>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</si>
  <si>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</si>
  <si>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</si>
  <si>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</si>
  <si>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</si>
  <si>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</si>
  <si>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</si>
  <si>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</si>
  <si>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</si>
  <si>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</si>
  <si>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</si>
  <si>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</si>
  <si>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</si>
  <si>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</si>
  <si>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</si>
  <si>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</si>
  <si>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</si>
  <si>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</si>
  <si>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</si>
  <si>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</si>
  <si>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</si>
  <si>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</si>
  <si>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</si>
  <si>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</si>
  <si>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</si>
  <si>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</si>
  <si>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</si>
  <si>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</si>
  <si>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</si>
  <si>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</si>
  <si>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</si>
  <si>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</si>
  <si>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</si>
  <si>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</si>
  <si>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</si>
  <si>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</si>
  <si>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</si>
  <si>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</si>
  <si>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</si>
  <si>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</si>
  <si>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</si>
  <si>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</si>
  <si>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</si>
  <si>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</si>
  <si>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</si>
  <si>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</si>
  <si>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</si>
  <si>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</si>
  <si>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</si>
  <si>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</si>
  <si>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</si>
  <si>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</si>
  <si>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</si>
  <si>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</si>
  <si>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</si>
  <si>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</si>
  <si>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</si>
  <si>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</si>
  <si>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</si>
  <si>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</si>
  <si>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</si>
  <si>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</si>
  <si>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</si>
  <si>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</si>
  <si>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</si>
  <si>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</si>
  <si>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</si>
  <si>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</si>
  <si>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</si>
  <si>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</si>
  <si>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</si>
  <si>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</si>
  <si>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</si>
  <si>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</si>
  <si>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</si>
  <si>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</si>
  <si>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</si>
  <si>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</si>
  <si>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</si>
  <si>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</si>
  <si>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</si>
  <si>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</si>
  <si>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</si>
  <si>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</si>
  <si>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</si>
  <si>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</si>
  <si>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</si>
  <si>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</si>
  <si>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</si>
  <si>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</si>
  <si>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</si>
  <si>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</si>
  <si>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</si>
  <si>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</si>
  <si>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</si>
  <si>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</si>
  <si>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</si>
  <si>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</si>
  <si>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</si>
  <si>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</si>
  <si>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</si>
  <si>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</si>
  <si>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</si>
  <si>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</si>
  <si>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</si>
  <si>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</si>
  <si>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</si>
  <si>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</si>
  <si>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</si>
  <si>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</si>
  <si>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</si>
  <si>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</si>
  <si>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</si>
  <si>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</si>
  <si>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</si>
  <si>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</si>
  <si>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</si>
  <si>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</si>
  <si>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</si>
  <si>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</si>
  <si>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</si>
  <si>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</si>
  <si>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</si>
  <si>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</si>
  <si>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</si>
  <si>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</si>
  <si>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</si>
  <si>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</si>
  <si>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</si>
  <si>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</si>
  <si>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</si>
  <si>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</si>
  <si>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</si>
  <si>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</si>
  <si>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</si>
  <si>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</si>
  <si>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</si>
  <si>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</si>
  <si>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</si>
  <si>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</si>
  <si>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</si>
  <si>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</si>
  <si>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</si>
  <si>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</si>
  <si>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</si>
  <si>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</si>
  <si>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</si>
  <si>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</si>
  <si>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</si>
  <si>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</si>
  <si>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</si>
  <si>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</si>
  <si>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</si>
  <si>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</si>
  <si>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</si>
  <si>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</si>
  <si>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</si>
  <si>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</si>
  <si>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</si>
  <si>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</si>
  <si>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</si>
  <si>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</si>
  <si>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</si>
  <si>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</si>
  <si>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</si>
  <si>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</si>
  <si>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</si>
  <si>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</si>
  <si>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</si>
  <si>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</si>
  <si>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</si>
  <si>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</si>
  <si>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</si>
  <si>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</si>
  <si>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</si>
  <si>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</si>
  <si>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</si>
  <si>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</si>
  <si>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</si>
  <si>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</si>
  <si>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</si>
  <si>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</si>
  <si>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</si>
  <si>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</si>
  <si>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</si>
  <si>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</si>
  <si>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</si>
  <si>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</si>
  <si>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</si>
  <si>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</si>
  <si>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</si>
  <si>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</si>
  <si>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</si>
  <si>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</si>
  <si>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</si>
  <si>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</si>
  <si>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</si>
  <si>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</si>
  <si>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</si>
  <si>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</si>
  <si>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</si>
  <si>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</si>
  <si>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</si>
  <si>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</si>
  <si>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</si>
  <si>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</si>
  <si>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</si>
  <si>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</si>
  <si>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</si>
  <si>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</si>
  <si>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</si>
  <si>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</si>
  <si>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</si>
  <si>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</si>
  <si>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</si>
  <si>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</si>
  <si>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</si>
  <si>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</si>
  <si>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</si>
  <si>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</si>
  <si>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</si>
  <si>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</si>
  <si>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</si>
  <si>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</si>
  <si>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</si>
  <si>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</si>
  <si>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</si>
  <si>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</si>
  <si>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</si>
  <si>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</si>
  <si>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</si>
  <si>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</si>
  <si>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</si>
  <si>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</si>
  <si>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</si>
  <si>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</si>
  <si>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</si>
  <si>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</si>
  <si>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</si>
  <si>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</si>
  <si>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</si>
  <si>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</si>
  <si>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</si>
  <si>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</si>
  <si>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</si>
  <si>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</si>
  <si>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</si>
  <si>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</si>
  <si>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</si>
  <si>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</si>
  <si>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</si>
  <si>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</si>
  <si>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</si>
  <si>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</si>
  <si>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</si>
  <si>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</si>
  <si>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</si>
  <si>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</si>
  <si>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</si>
  <si>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</si>
  <si>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</si>
  <si>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</si>
  <si>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</si>
  <si>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</si>
  <si>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</si>
  <si>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</si>
  <si>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</si>
  <si>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</si>
  <si>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</si>
  <si>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</si>
  <si>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</si>
  <si>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</si>
  <si>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</si>
  <si>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</si>
  <si>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</si>
  <si>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</si>
  <si>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</si>
  <si>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</si>
  <si>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</si>
  <si>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</si>
  <si>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</si>
  <si>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</si>
  <si>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</si>
  <si>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</si>
  <si>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</si>
  <si>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</si>
  <si>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</si>
  <si>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</si>
  <si>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</si>
  <si>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</si>
  <si>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</si>
  <si>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</si>
  <si>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</si>
  <si>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</si>
  <si>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</si>
  <si>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</si>
  <si>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</si>
  <si>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</si>
  <si>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</si>
  <si>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</si>
  <si>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</si>
  <si>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</si>
  <si>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</si>
  <si>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</si>
  <si>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</si>
  <si>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</si>
  <si>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</si>
  <si>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</si>
  <si>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</si>
  <si>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</si>
  <si>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</si>
  <si>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</si>
  <si>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</si>
  <si>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</si>
  <si>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</si>
  <si>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</si>
  <si>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</si>
  <si>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</si>
  <si>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</si>
  <si>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</si>
  <si>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</si>
  <si>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</si>
  <si>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</si>
  <si>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</si>
  <si>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</si>
  <si>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</si>
  <si>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</si>
  <si>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</si>
  <si>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</si>
  <si>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</si>
  <si>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</si>
  <si>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</si>
  <si>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</si>
  <si>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</si>
  <si>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</si>
  <si>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</si>
  <si>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</si>
  <si>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</si>
  <si>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</si>
  <si>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</si>
  <si>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</si>
  <si>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</si>
  <si>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</si>
  <si>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</si>
  <si>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</si>
  <si>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</si>
  <si>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</si>
  <si>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</si>
  <si>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</si>
  <si>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</si>
  <si>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</si>
  <si>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</si>
  <si>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</si>
  <si>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</si>
  <si>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</si>
  <si>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</si>
  <si>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</si>
  <si>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</si>
  <si>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</si>
  <si>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</si>
  <si>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</si>
  <si>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</si>
  <si>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</si>
  <si>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</si>
  <si>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</si>
  <si>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</si>
  <si>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</si>
  <si>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</si>
  <si>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</si>
  <si>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</si>
  <si>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</si>
  <si>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</si>
  <si>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</si>
  <si>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</si>
  <si>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</si>
  <si>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</si>
  <si>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</si>
  <si>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</si>
  <si>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</si>
  <si>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</si>
  <si>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</si>
  <si>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</si>
  <si>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</si>
  <si>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</si>
  <si>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</si>
  <si>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</si>
  <si>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</si>
  <si>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</si>
  <si>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</si>
  <si>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</si>
  <si>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</si>
  <si>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</si>
  <si>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</si>
  <si>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</si>
  <si>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</si>
  <si>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</si>
  <si>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</si>
  <si>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</si>
  <si>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</si>
  <si>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</si>
  <si>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</si>
  <si>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</si>
  <si>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</si>
  <si>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</si>
  <si>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</si>
  <si>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</si>
  <si>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</si>
  <si>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</si>
  <si>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</si>
  <si>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</si>
  <si>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</si>
  <si>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</si>
  <si>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</si>
  <si>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</si>
  <si>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</si>
  <si>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</si>
  <si>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</si>
  <si>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</si>
  <si>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</si>
  <si>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</si>
  <si>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</si>
  <si>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</si>
  <si>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</si>
  <si>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</si>
  <si>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</si>
  <si>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</si>
  <si>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</si>
  <si>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</si>
  <si>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</si>
  <si>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</si>
  <si>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</si>
  <si>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</si>
  <si>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</si>
  <si>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</si>
  <si>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</si>
  <si>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</si>
  <si>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</si>
  <si>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</si>
  <si>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</si>
  <si>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</si>
  <si>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</si>
  <si>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</si>
  <si>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</si>
  <si>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</si>
  <si>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</si>
  <si>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</si>
  <si>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</si>
  <si>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</si>
  <si>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</si>
  <si>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</si>
  <si>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</si>
  <si>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</si>
  <si>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</si>
  <si>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</si>
  <si>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</si>
  <si>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</si>
  <si>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</si>
  <si>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</si>
  <si>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</si>
  <si>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</si>
  <si>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</si>
  <si>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</si>
  <si>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</si>
  <si>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</si>
  <si>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</si>
  <si>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</si>
  <si>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</si>
  <si>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</si>
  <si>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</si>
  <si>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</si>
  <si>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</si>
  <si>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</si>
  <si>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</si>
  <si>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</si>
  <si>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</si>
  <si>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</si>
  <si>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</si>
  <si>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</si>
  <si>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</si>
  <si>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</si>
  <si>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</si>
  <si>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</si>
  <si>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</si>
  <si>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</si>
  <si>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</si>
  <si>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</si>
  <si>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</si>
  <si>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</si>
  <si>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</si>
  <si>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</si>
  <si>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</si>
  <si>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</si>
  <si>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</si>
  <si>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</si>
  <si>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</si>
  <si>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</si>
  <si>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</si>
  <si>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</si>
  <si>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</si>
  <si>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</si>
  <si>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</si>
  <si>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</si>
  <si>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</si>
  <si>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</si>
  <si>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</si>
  <si>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</si>
  <si>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</si>
  <si>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</si>
  <si>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</si>
  <si>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</si>
  <si>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</si>
  <si>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</si>
  <si>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</si>
  <si>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</si>
  <si>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</si>
  <si>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</si>
  <si>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</si>
  <si>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</si>
  <si>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</si>
  <si>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</si>
  <si>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</si>
  <si>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</si>
  <si>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</si>
  <si>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</si>
  <si>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</si>
  <si>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</si>
  <si>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</si>
  <si>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</si>
  <si>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</si>
  <si>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</si>
  <si>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</si>
  <si>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</si>
  <si>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</si>
  <si>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</si>
  <si>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</si>
  <si>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</si>
  <si>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</si>
  <si>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</si>
  <si>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</si>
  <si>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</si>
  <si>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</si>
  <si>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</si>
  <si>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</si>
  <si>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</si>
  <si>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</si>
  <si>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</si>
  <si>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</si>
  <si>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</si>
  <si>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</si>
  <si>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</si>
  <si>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</si>
  <si>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</si>
  <si>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</si>
  <si>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</si>
  <si>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</si>
  <si>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</si>
  <si>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</si>
  <si>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</si>
  <si>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</si>
  <si>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</si>
  <si>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</si>
  <si>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</si>
  <si>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</si>
  <si>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</si>
  <si>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</si>
  <si>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</si>
  <si>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</si>
  <si>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</si>
  <si>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</si>
  <si>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</si>
  <si>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</si>
  <si>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</si>
  <si>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</si>
  <si>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</si>
  <si>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</si>
  <si>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</si>
  <si>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</si>
  <si>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</si>
  <si>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</si>
  <si>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</si>
  <si>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</si>
  <si>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</si>
  <si>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</si>
  <si>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</si>
  <si>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</si>
  <si>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</si>
  <si>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</si>
  <si>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</si>
  <si>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</si>
  <si>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</si>
  <si>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</si>
  <si>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</si>
  <si>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</si>
  <si>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</si>
  <si>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</si>
  <si>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</si>
  <si>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</si>
  <si>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</si>
  <si>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</si>
  <si>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</si>
  <si>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</si>
  <si>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</si>
  <si>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</si>
  <si>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</si>
  <si>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</si>
  <si>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</si>
  <si>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</si>
  <si>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</si>
  <si>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</si>
  <si>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</si>
  <si>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</si>
  <si>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</si>
  <si>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</si>
  <si>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</si>
  <si>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</si>
  <si>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</si>
  <si>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</si>
  <si>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</si>
  <si>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</si>
  <si>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</si>
  <si>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</si>
  <si>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</si>
  <si>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</si>
  <si>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</si>
  <si>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</si>
  <si>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</si>
  <si>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</si>
  <si>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</si>
  <si>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</si>
  <si>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</si>
  <si>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</si>
  <si>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</si>
  <si>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</si>
  <si>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</si>
  <si>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</si>
  <si>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</si>
  <si>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</si>
  <si>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</si>
  <si>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</si>
  <si>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</si>
  <si>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</si>
  <si>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</si>
  <si>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</si>
  <si>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</si>
  <si>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</si>
  <si>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</si>
  <si>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</si>
  <si>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</si>
  <si>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</si>
  <si>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</si>
  <si>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</si>
  <si>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</si>
  <si>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</si>
  <si>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</si>
  <si>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</si>
  <si>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</si>
  <si>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</si>
  <si>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</si>
  <si>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</si>
  <si>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</si>
  <si>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</si>
  <si>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</si>
  <si>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</si>
  <si>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</si>
  <si>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</si>
  <si>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</si>
  <si>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</si>
  <si>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</si>
  <si>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</si>
  <si>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</si>
  <si>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</si>
  <si>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</si>
  <si>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</si>
  <si>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</si>
  <si>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</si>
  <si>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</si>
  <si>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</si>
  <si>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</si>
  <si>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</si>
  <si>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</si>
  <si>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</si>
  <si>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</si>
  <si>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</si>
  <si>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</si>
  <si>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</si>
  <si>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</si>
  <si>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</si>
  <si>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</si>
  <si>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</si>
  <si>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</si>
  <si>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</si>
  <si>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</si>
  <si>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</si>
  <si>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</si>
  <si>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</si>
  <si>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</si>
  <si>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</si>
  <si>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</si>
  <si>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</si>
  <si>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</si>
  <si>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</si>
  <si>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</si>
  <si>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</si>
  <si>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</si>
  <si>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</si>
  <si>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31004</t>
  </si>
  <si>
    <t>BLANKENBERGE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</si>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</sst>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153779.81069289151</c:v>
                </c:pt>
                <c:pt idx="1">
                  <c:v>126607.31175740634</c:v>
                </c:pt>
                <c:pt idx="2">
                  <c:v>1795.7921038750501</c:v>
                </c:pt>
                <c:pt idx="3">
                  <c:v>1898.4303415018414</c:v>
                </c:pt>
                <c:pt idx="4">
                  <c:v>11306.115688063916</c:v>
                </c:pt>
                <c:pt idx="5">
                  <c:v>29480.503864062397</c:v>
                </c:pt>
                <c:pt idx="6">
                  <c:v>1147.9356841625597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153779.81069289151</c:v>
                </c:pt>
                <c:pt idx="1">
                  <c:v>126607.31175740634</c:v>
                </c:pt>
                <c:pt idx="2">
                  <c:v>1795.7921038750501</c:v>
                </c:pt>
                <c:pt idx="3">
                  <c:v>1898.4303415018414</c:v>
                </c:pt>
                <c:pt idx="4">
                  <c:v>11306.115688063916</c:v>
                </c:pt>
                <c:pt idx="5">
                  <c:v>29480.503864062397</c:v>
                </c:pt>
                <c:pt idx="6">
                  <c:v>1147.9356841625597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31558.879793253243</c:v>
                </c:pt>
                <c:pt idx="2">
                  <c:v>25959.751448699488</c:v>
                </c:pt>
                <c:pt idx="3">
                  <c:v>386.385438532747</c:v>
                </c:pt>
                <c:pt idx="4">
                  <c:v>484.93177240498181</c:v>
                </c:pt>
                <c:pt idx="5">
                  <c:v>2294.5620093499874</c:v>
                </c:pt>
                <c:pt idx="6">
                  <c:v>7451.4798889056992</c:v>
                </c:pt>
                <c:pt idx="7">
                  <c:v>261.27370296348681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31558.879793253243</c:v>
                </c:pt>
                <c:pt idx="2">
                  <c:v>25959.751448699488</c:v>
                </c:pt>
                <c:pt idx="3">
                  <c:v>386.385438532747</c:v>
                </c:pt>
                <c:pt idx="4">
                  <c:v>484.93177240498181</c:v>
                </c:pt>
                <c:pt idx="5">
                  <c:v>2294.5620093499874</c:v>
                </c:pt>
                <c:pt idx="6">
                  <c:v>7451.4798889056992</c:v>
                </c:pt>
                <c:pt idx="7">
                  <c:v>261.27370296348681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31004</v>
      </c>
      <c r="B6" s="398"/>
      <c r="C6" s="399"/>
    </row>
    <row r="7" spans="1:7" s="396" customFormat="1" ht="15.75" customHeight="1">
      <c r="A7" s="400" t="str">
        <f>txtMunicipality</f>
        <v>BLANKENBERGE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0.21516156447006599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0.21516156447006599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9965</v>
      </c>
      <c r="C9" s="338">
        <v>10266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1044</v>
      </c>
    </row>
    <row r="15" spans="1:6">
      <c r="A15" s="1295" t="s">
        <v>184</v>
      </c>
      <c r="B15" s="335">
        <v>5</v>
      </c>
    </row>
    <row r="16" spans="1:6">
      <c r="A16" s="1295" t="s">
        <v>6</v>
      </c>
      <c r="B16" s="335">
        <v>127</v>
      </c>
    </row>
    <row r="17" spans="1:6">
      <c r="A17" s="1295" t="s">
        <v>7</v>
      </c>
      <c r="B17" s="335">
        <v>114</v>
      </c>
    </row>
    <row r="18" spans="1:6">
      <c r="A18" s="1295" t="s">
        <v>8</v>
      </c>
      <c r="B18" s="335">
        <v>154</v>
      </c>
    </row>
    <row r="19" spans="1:6">
      <c r="A19" s="1295" t="s">
        <v>9</v>
      </c>
      <c r="B19" s="335">
        <v>205</v>
      </c>
    </row>
    <row r="20" spans="1:6">
      <c r="A20" s="1295" t="s">
        <v>10</v>
      </c>
      <c r="B20" s="335">
        <v>250</v>
      </c>
    </row>
    <row r="21" spans="1:6">
      <c r="A21" s="1295" t="s">
        <v>11</v>
      </c>
      <c r="B21" s="335">
        <v>1286</v>
      </c>
    </row>
    <row r="22" spans="1:6">
      <c r="A22" s="1295" t="s">
        <v>12</v>
      </c>
      <c r="B22" s="335">
        <v>5065</v>
      </c>
    </row>
    <row r="23" spans="1:6">
      <c r="A23" s="1295" t="s">
        <v>13</v>
      </c>
      <c r="B23" s="335">
        <v>60</v>
      </c>
    </row>
    <row r="24" spans="1:6">
      <c r="A24" s="1295" t="s">
        <v>14</v>
      </c>
      <c r="B24" s="335">
        <v>5</v>
      </c>
    </row>
    <row r="25" spans="1:6">
      <c r="A25" s="1295" t="s">
        <v>15</v>
      </c>
      <c r="B25" s="335">
        <v>482</v>
      </c>
    </row>
    <row r="26" spans="1:6">
      <c r="A26" s="1295" t="s">
        <v>16</v>
      </c>
      <c r="B26" s="335">
        <v>31</v>
      </c>
    </row>
    <row r="27" spans="1:6">
      <c r="A27" s="1295" t="s">
        <v>17</v>
      </c>
      <c r="B27" s="335">
        <v>2</v>
      </c>
    </row>
    <row r="28" spans="1:6" s="341" customFormat="1">
      <c r="A28" s="1296" t="s">
        <v>18</v>
      </c>
      <c r="B28" s="1296">
        <v>2</v>
      </c>
    </row>
    <row r="29" spans="1:6">
      <c r="A29" s="1296" t="s">
        <v>909</v>
      </c>
      <c r="B29" s="1296">
        <v>62</v>
      </c>
      <c r="C29" s="341"/>
      <c r="D29" s="341"/>
      <c r="E29" s="341"/>
      <c r="F29" s="341"/>
    </row>
    <row r="30" spans="1:6">
      <c r="A30" s="1291" t="s">
        <v>910</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6</v>
      </c>
      <c r="F36" s="335">
        <v>24647.9541436615</v>
      </c>
    </row>
    <row r="37" spans="1:6">
      <c r="A37" s="1295" t="s">
        <v>25</v>
      </c>
      <c r="B37" s="1295" t="s">
        <v>28</v>
      </c>
      <c r="C37" s="335">
        <v>0</v>
      </c>
      <c r="D37" s="335">
        <v>0</v>
      </c>
      <c r="E37" s="335">
        <v>0</v>
      </c>
      <c r="F37" s="335">
        <v>0</v>
      </c>
    </row>
    <row r="38" spans="1:6">
      <c r="A38" s="1295" t="s">
        <v>25</v>
      </c>
      <c r="B38" s="1295" t="s">
        <v>29</v>
      </c>
      <c r="C38" s="335">
        <v>3</v>
      </c>
      <c r="D38" s="335">
        <v>148493.36831492299</v>
      </c>
      <c r="E38" s="335">
        <v>0</v>
      </c>
      <c r="F38" s="335">
        <v>0</v>
      </c>
    </row>
    <row r="39" spans="1:6">
      <c r="A39" s="1295" t="s">
        <v>30</v>
      </c>
      <c r="B39" s="1295" t="s">
        <v>31</v>
      </c>
      <c r="C39" s="335">
        <v>10300</v>
      </c>
      <c r="D39" s="335">
        <v>126025045.87992699</v>
      </c>
      <c r="E39" s="335">
        <v>15375</v>
      </c>
      <c r="F39" s="335">
        <v>38208266.266476698</v>
      </c>
    </row>
    <row r="40" spans="1:6">
      <c r="A40" s="1295" t="s">
        <v>30</v>
      </c>
      <c r="B40" s="1295" t="s">
        <v>29</v>
      </c>
      <c r="C40" s="335">
        <v>0</v>
      </c>
      <c r="D40" s="335">
        <v>0</v>
      </c>
      <c r="E40" s="335">
        <v>1</v>
      </c>
      <c r="F40" s="335">
        <v>2599.0427206446002</v>
      </c>
    </row>
    <row r="41" spans="1:6">
      <c r="A41" s="1295" t="s">
        <v>32</v>
      </c>
      <c r="B41" s="1295" t="s">
        <v>33</v>
      </c>
      <c r="C41" s="335">
        <v>146</v>
      </c>
      <c r="D41" s="335">
        <v>2031091.1124285799</v>
      </c>
      <c r="E41" s="335">
        <v>275</v>
      </c>
      <c r="F41" s="335">
        <v>2394349.64859808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18</v>
      </c>
      <c r="F44" s="335">
        <v>166849.35346753799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5</v>
      </c>
      <c r="F47" s="335">
        <v>54225.741895977299</v>
      </c>
    </row>
    <row r="48" spans="1:6">
      <c r="A48" s="1295" t="s">
        <v>32</v>
      </c>
      <c r="B48" s="1295" t="s">
        <v>29</v>
      </c>
      <c r="C48" s="335">
        <v>33</v>
      </c>
      <c r="D48" s="335">
        <v>959819.76027486299</v>
      </c>
      <c r="E48" s="335">
        <v>27</v>
      </c>
      <c r="F48" s="335">
        <v>203799.42530915499</v>
      </c>
    </row>
    <row r="49" spans="1:6">
      <c r="A49" s="1295" t="s">
        <v>32</v>
      </c>
      <c r="B49" s="1295" t="s">
        <v>40</v>
      </c>
      <c r="C49" s="335">
        <v>0</v>
      </c>
      <c r="D49" s="335">
        <v>0</v>
      </c>
      <c r="E49" s="335">
        <v>0</v>
      </c>
      <c r="F49" s="335">
        <v>0</v>
      </c>
    </row>
    <row r="50" spans="1:6">
      <c r="A50" s="1295" t="s">
        <v>32</v>
      </c>
      <c r="B50" s="1295" t="s">
        <v>41</v>
      </c>
      <c r="C50" s="335">
        <v>15</v>
      </c>
      <c r="D50" s="335">
        <v>510531.07939121802</v>
      </c>
      <c r="E50" s="335">
        <v>29</v>
      </c>
      <c r="F50" s="335">
        <v>708708.347744636</v>
      </c>
    </row>
    <row r="51" spans="1:6">
      <c r="A51" s="1295" t="s">
        <v>42</v>
      </c>
      <c r="B51" s="1295" t="s">
        <v>43</v>
      </c>
      <c r="C51" s="335">
        <v>15</v>
      </c>
      <c r="D51" s="335">
        <v>60066.829096146699</v>
      </c>
      <c r="E51" s="335">
        <v>32</v>
      </c>
      <c r="F51" s="335">
        <v>367470.74010827899</v>
      </c>
    </row>
    <row r="52" spans="1:6">
      <c r="A52" s="1295" t="s">
        <v>42</v>
      </c>
      <c r="B52" s="1295" t="s">
        <v>29</v>
      </c>
      <c r="C52" s="335">
        <v>2</v>
      </c>
      <c r="D52" s="335">
        <v>53633.545151630402</v>
      </c>
      <c r="E52" s="335">
        <v>7</v>
      </c>
      <c r="F52" s="335">
        <v>21815.8424984462</v>
      </c>
    </row>
    <row r="53" spans="1:6">
      <c r="A53" s="1295" t="s">
        <v>44</v>
      </c>
      <c r="B53" s="1295" t="s">
        <v>45</v>
      </c>
      <c r="C53" s="335">
        <v>686</v>
      </c>
      <c r="D53" s="335">
        <v>11110493.691664301</v>
      </c>
      <c r="E53" s="335">
        <v>1417</v>
      </c>
      <c r="F53" s="335">
        <v>3803231.9323018799</v>
      </c>
    </row>
    <row r="54" spans="1:6">
      <c r="A54" s="1295" t="s">
        <v>46</v>
      </c>
      <c r="B54" s="1295" t="s">
        <v>47</v>
      </c>
      <c r="C54" s="335">
        <v>0</v>
      </c>
      <c r="D54" s="335">
        <v>0</v>
      </c>
      <c r="E54" s="335">
        <v>4</v>
      </c>
      <c r="F54" s="335">
        <v>1795792.1038750501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88</v>
      </c>
      <c r="D57" s="335">
        <v>7900118.5530024897</v>
      </c>
      <c r="E57" s="335">
        <v>240</v>
      </c>
      <c r="F57" s="335">
        <v>5929798.8776703496</v>
      </c>
    </row>
    <row r="58" spans="1:6">
      <c r="A58" s="1295" t="s">
        <v>49</v>
      </c>
      <c r="B58" s="1295" t="s">
        <v>51</v>
      </c>
      <c r="C58" s="335">
        <v>29</v>
      </c>
      <c r="D58" s="335">
        <v>935399.30321716703</v>
      </c>
      <c r="E58" s="335">
        <v>43</v>
      </c>
      <c r="F58" s="335">
        <v>887003.66411387001</v>
      </c>
    </row>
    <row r="59" spans="1:6">
      <c r="A59" s="1295" t="s">
        <v>49</v>
      </c>
      <c r="B59" s="1295" t="s">
        <v>52</v>
      </c>
      <c r="C59" s="335">
        <v>228</v>
      </c>
      <c r="D59" s="335">
        <v>9795995.5166435894</v>
      </c>
      <c r="E59" s="335">
        <v>462</v>
      </c>
      <c r="F59" s="335">
        <v>10820135.530561499</v>
      </c>
    </row>
    <row r="60" spans="1:6">
      <c r="A60" s="1295" t="s">
        <v>49</v>
      </c>
      <c r="B60" s="1295" t="s">
        <v>53</v>
      </c>
      <c r="C60" s="335">
        <v>291</v>
      </c>
      <c r="D60" s="335">
        <v>21261087.544165999</v>
      </c>
      <c r="E60" s="335">
        <v>441</v>
      </c>
      <c r="F60" s="335">
        <v>15252731.599476701</v>
      </c>
    </row>
    <row r="61" spans="1:6">
      <c r="A61" s="1295" t="s">
        <v>49</v>
      </c>
      <c r="B61" s="1295" t="s">
        <v>54</v>
      </c>
      <c r="C61" s="335">
        <v>361</v>
      </c>
      <c r="D61" s="335">
        <v>22601871.119941801</v>
      </c>
      <c r="E61" s="335">
        <v>1154</v>
      </c>
      <c r="F61" s="335">
        <v>8168131.86502882</v>
      </c>
    </row>
    <row r="62" spans="1:6">
      <c r="A62" s="1295" t="s">
        <v>49</v>
      </c>
      <c r="B62" s="1295" t="s">
        <v>55</v>
      </c>
      <c r="C62" s="335">
        <v>7</v>
      </c>
      <c r="D62" s="335">
        <v>1305562.4813304199</v>
      </c>
      <c r="E62" s="335">
        <v>11</v>
      </c>
      <c r="F62" s="335">
        <v>422971.6392643</v>
      </c>
    </row>
    <row r="63" spans="1:6">
      <c r="A63" s="1295" t="s">
        <v>49</v>
      </c>
      <c r="B63" s="1295" t="s">
        <v>29</v>
      </c>
      <c r="C63" s="335">
        <v>105</v>
      </c>
      <c r="D63" s="335">
        <v>8365316.5352228796</v>
      </c>
      <c r="E63" s="335">
        <v>86</v>
      </c>
      <c r="F63" s="335">
        <v>3992768.2448308798</v>
      </c>
    </row>
    <row r="64" spans="1:6">
      <c r="A64" s="1295" t="s">
        <v>56</v>
      </c>
      <c r="B64" s="1295" t="s">
        <v>57</v>
      </c>
      <c r="C64" s="335">
        <v>0</v>
      </c>
      <c r="D64" s="335">
        <v>0</v>
      </c>
      <c r="E64" s="335">
        <v>0</v>
      </c>
      <c r="F64" s="335">
        <v>0</v>
      </c>
    </row>
    <row r="65" spans="1:6">
      <c r="A65" s="1295" t="s">
        <v>56</v>
      </c>
      <c r="B65" s="1295" t="s">
        <v>29</v>
      </c>
      <c r="C65" s="335">
        <v>2</v>
      </c>
      <c r="D65" s="335">
        <v>34305.824428858999</v>
      </c>
      <c r="E65" s="335">
        <v>4</v>
      </c>
      <c r="F65" s="335">
        <v>18453.335349454101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9</v>
      </c>
      <c r="D68" s="335">
        <v>214711.155647498</v>
      </c>
      <c r="E68" s="335">
        <v>19</v>
      </c>
      <c r="F68" s="335">
        <v>55935.9854546274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29592991</v>
      </c>
      <c r="E73" s="335">
        <v>32682016.793456338</v>
      </c>
    </row>
    <row r="74" spans="1:6">
      <c r="A74" s="1295" t="s">
        <v>64</v>
      </c>
      <c r="B74" s="1295" t="s">
        <v>727</v>
      </c>
      <c r="C74" s="1295" t="s">
        <v>728</v>
      </c>
      <c r="D74" s="335">
        <v>2491333.2157167499</v>
      </c>
      <c r="E74" s="335">
        <v>2703703.1123822075</v>
      </c>
    </row>
    <row r="75" spans="1:6">
      <c r="A75" s="1295" t="s">
        <v>65</v>
      </c>
      <c r="B75" s="1295" t="s">
        <v>725</v>
      </c>
      <c r="C75" s="1295" t="s">
        <v>729</v>
      </c>
      <c r="D75" s="335">
        <v>3952255</v>
      </c>
      <c r="E75" s="335">
        <v>4191559.1006153799</v>
      </c>
    </row>
    <row r="76" spans="1:6">
      <c r="A76" s="1295" t="s">
        <v>65</v>
      </c>
      <c r="B76" s="1295" t="s">
        <v>727</v>
      </c>
      <c r="C76" s="1295" t="s">
        <v>730</v>
      </c>
      <c r="D76" s="335">
        <v>519731.21571674978</v>
      </c>
      <c r="E76" s="335">
        <v>564811.34522573266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93233.568566500398</v>
      </c>
      <c r="C83" s="335">
        <v>93789.801308087044</v>
      </c>
    </row>
    <row r="84" spans="1:6">
      <c r="A84" s="1291" t="s">
        <v>337</v>
      </c>
      <c r="B84" s="338">
        <v>225540.32333847304</v>
      </c>
      <c r="C84" s="338">
        <v>231794.81043736063</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1743.354</v>
      </c>
    </row>
    <row r="92" spans="1:6">
      <c r="A92" s="1291" t="s">
        <v>69</v>
      </c>
      <c r="B92" s="338">
        <v>785.95309999999995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5834</v>
      </c>
    </row>
    <row r="98" spans="1:6">
      <c r="A98" s="1295" t="s">
        <v>72</v>
      </c>
      <c r="B98" s="335">
        <v>2</v>
      </c>
    </row>
    <row r="99" spans="1:6">
      <c r="A99" s="1295" t="s">
        <v>73</v>
      </c>
      <c r="B99" s="335">
        <v>23</v>
      </c>
    </row>
    <row r="100" spans="1:6">
      <c r="A100" s="1295" t="s">
        <v>74</v>
      </c>
      <c r="B100" s="335">
        <v>1053</v>
      </c>
    </row>
    <row r="101" spans="1:6">
      <c r="A101" s="1295" t="s">
        <v>75</v>
      </c>
      <c r="B101" s="335">
        <v>28</v>
      </c>
    </row>
    <row r="102" spans="1:6">
      <c r="A102" s="1295" t="s">
        <v>76</v>
      </c>
      <c r="B102" s="335">
        <v>279</v>
      </c>
    </row>
    <row r="103" spans="1:6">
      <c r="A103" s="1295" t="s">
        <v>77</v>
      </c>
      <c r="B103" s="335">
        <v>58</v>
      </c>
    </row>
    <row r="104" spans="1:6">
      <c r="A104" s="1295" t="s">
        <v>78</v>
      </c>
      <c r="B104" s="335">
        <v>885</v>
      </c>
    </row>
    <row r="105" spans="1:6">
      <c r="A105" s="1291" t="s">
        <v>79</v>
      </c>
      <c r="B105" s="1291">
        <v>10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52</v>
      </c>
    </row>
    <row r="130" spans="1:6">
      <c r="A130" s="1295" t="s">
        <v>295</v>
      </c>
      <c r="B130" s="335">
        <v>2</v>
      </c>
    </row>
    <row r="131" spans="1:6">
      <c r="A131" s="1295" t="s">
        <v>296</v>
      </c>
      <c r="B131" s="335">
        <v>2</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95740.865208511852</v>
      </c>
      <c r="C3" s="43" t="s">
        <v>170</v>
      </c>
      <c r="D3" s="43"/>
      <c r="E3" s="156"/>
      <c r="F3" s="43"/>
      <c r="G3" s="43"/>
      <c r="H3" s="43"/>
      <c r="I3" s="43"/>
      <c r="J3" s="43"/>
      <c r="K3" s="96"/>
    </row>
    <row r="4" spans="1:11">
      <c r="A4" s="366" t="s">
        <v>171</v>
      </c>
      <c r="B4" s="49">
        <f>IF(ISERROR('SEAP template'!B78+'SEAP template'!C78),0,'SEAP template'!B78+'SEAP template'!C78)</f>
        <v>2529.3071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0.21516156447006599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1795.7921038750501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1795.7921038750501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0.21516156447006599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386.385438532747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38210.865309197347</v>
      </c>
      <c r="C5" s="17">
        <f>IF(ISERROR('Eigen informatie GS &amp; warmtenet'!B57),0,'Eigen informatie GS &amp; warmtenet'!B57)</f>
        <v>0</v>
      </c>
      <c r="D5" s="30">
        <f>(SUM(HH_hh_gas_kWh,HH_rest_gas_kWh)/1000)*0.902</f>
        <v>113674.59138369416</v>
      </c>
      <c r="E5" s="17">
        <f>B46*B57</f>
        <v>0</v>
      </c>
      <c r="F5" s="17">
        <f>B51*B62</f>
        <v>0</v>
      </c>
      <c r="G5" s="18"/>
      <c r="H5" s="17"/>
      <c r="I5" s="17"/>
      <c r="J5" s="17">
        <f>B50*B61+C50*C61</f>
        <v>0</v>
      </c>
      <c r="K5" s="17"/>
      <c r="L5" s="17"/>
      <c r="M5" s="17"/>
      <c r="N5" s="17">
        <f>B48*B59+C48*C59</f>
        <v>0</v>
      </c>
      <c r="O5" s="17">
        <f>B69*B70*B71</f>
        <v>93.8</v>
      </c>
      <c r="P5" s="17">
        <f>B77*B78*B79/1000-B77*B78*B79/1000/B80</f>
        <v>57.2</v>
      </c>
    </row>
    <row r="6" spans="1:16">
      <c r="A6" s="16" t="s">
        <v>634</v>
      </c>
      <c r="B6" s="783">
        <f>kWh_PV_kleiner_dan_10kW</f>
        <v>1743.354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39954.219309197346</v>
      </c>
      <c r="C8" s="21">
        <f>C5</f>
        <v>0</v>
      </c>
      <c r="D8" s="21">
        <f>D5</f>
        <v>113674.59138369416</v>
      </c>
      <c r="E8" s="21">
        <f>E5</f>
        <v>0</v>
      </c>
      <c r="F8" s="21">
        <f>F5</f>
        <v>0</v>
      </c>
      <c r="G8" s="21"/>
      <c r="H8" s="21"/>
      <c r="I8" s="21"/>
      <c r="J8" s="21">
        <f>J5</f>
        <v>0</v>
      </c>
      <c r="K8" s="21"/>
      <c r="L8" s="21">
        <f>L5</f>
        <v>0</v>
      </c>
      <c r="M8" s="21">
        <f>M5</f>
        <v>0</v>
      </c>
      <c r="N8" s="21">
        <f>N5</f>
        <v>0</v>
      </c>
      <c r="O8" s="21">
        <f>O5</f>
        <v>93.8</v>
      </c>
      <c r="P8" s="21">
        <f>P5</f>
        <v>57.2</v>
      </c>
    </row>
    <row r="9" spans="1:16">
      <c r="B9" s="19"/>
      <c r="C9" s="19"/>
      <c r="D9" s="261"/>
      <c r="E9" s="19"/>
      <c r="F9" s="19"/>
      <c r="G9" s="19"/>
      <c r="H9" s="19"/>
      <c r="I9" s="19"/>
      <c r="J9" s="19"/>
      <c r="K9" s="19"/>
      <c r="L9" s="19"/>
      <c r="M9" s="19"/>
      <c r="N9" s="19"/>
      <c r="O9" s="19"/>
      <c r="P9" s="19"/>
    </row>
    <row r="10" spans="1:16">
      <c r="A10" s="24" t="s">
        <v>214</v>
      </c>
      <c r="B10" s="25">
        <f ca="1">'EF ele_warmte'!B12</f>
        <v>0.21516156447006599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8596.6123337470199</v>
      </c>
      <c r="C12" s="23">
        <f ca="1">C10*C8</f>
        <v>0</v>
      </c>
      <c r="D12" s="23">
        <f>D8*D10</f>
        <v>22962.267459506224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5834</v>
      </c>
      <c r="C18" s="168" t="s">
        <v>111</v>
      </c>
      <c r="D18" s="230"/>
      <c r="E18" s="15"/>
    </row>
    <row r="19" spans="1:7">
      <c r="A19" s="173" t="s">
        <v>72</v>
      </c>
      <c r="B19" s="37">
        <f>aantalw2001_ander</f>
        <v>2</v>
      </c>
      <c r="C19" s="168" t="s">
        <v>111</v>
      </c>
      <c r="D19" s="231"/>
      <c r="E19" s="15"/>
    </row>
    <row r="20" spans="1:7">
      <c r="A20" s="173" t="s">
        <v>73</v>
      </c>
      <c r="B20" s="37">
        <f>aantalw2001_propaan</f>
        <v>23</v>
      </c>
      <c r="C20" s="169">
        <f>IF(ISERROR(B20/SUM($B$20,$B$21,$B$22)*100),0,B20/SUM($B$20,$B$21,$B$22)*100)</f>
        <v>2.083333333333333</v>
      </c>
      <c r="D20" s="231"/>
      <c r="E20" s="15"/>
    </row>
    <row r="21" spans="1:7">
      <c r="A21" s="173" t="s">
        <v>74</v>
      </c>
      <c r="B21" s="37">
        <f>aantalw2001_elektriciteit</f>
        <v>1053</v>
      </c>
      <c r="C21" s="169">
        <f>IF(ISERROR(B21/SUM($B$20,$B$21,$B$22)*100),0,B21/SUM($B$20,$B$21,$B$22)*100)</f>
        <v>95.380434782608688</v>
      </c>
      <c r="D21" s="231"/>
      <c r="E21" s="15"/>
    </row>
    <row r="22" spans="1:7">
      <c r="A22" s="173" t="s">
        <v>75</v>
      </c>
      <c r="B22" s="37">
        <f>aantalw2001_hout</f>
        <v>28</v>
      </c>
      <c r="C22" s="169">
        <f>IF(ISERROR(B22/SUM($B$20,$B$21,$B$22)*100),0,B22/SUM($B$20,$B$21,$B$22)*100)</f>
        <v>2.5362318840579712</v>
      </c>
      <c r="D22" s="231"/>
      <c r="E22" s="15"/>
    </row>
    <row r="23" spans="1:7">
      <c r="A23" s="173" t="s">
        <v>76</v>
      </c>
      <c r="B23" s="37">
        <f>aantalw2001_niet_gespec</f>
        <v>279</v>
      </c>
      <c r="C23" s="168" t="s">
        <v>111</v>
      </c>
      <c r="D23" s="230"/>
      <c r="E23" s="15"/>
    </row>
    <row r="24" spans="1:7">
      <c r="A24" s="173" t="s">
        <v>77</v>
      </c>
      <c r="B24" s="37">
        <f>aantalw2001_steenkool</f>
        <v>58</v>
      </c>
      <c r="C24" s="168" t="s">
        <v>111</v>
      </c>
      <c r="D24" s="231"/>
      <c r="E24" s="15"/>
    </row>
    <row r="25" spans="1:7">
      <c r="A25" s="173" t="s">
        <v>78</v>
      </c>
      <c r="B25" s="37">
        <f>aantalw2001_stookolie</f>
        <v>885</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9965</v>
      </c>
      <c r="C28" s="36"/>
      <c r="D28" s="230"/>
    </row>
    <row r="29" spans="1:7" s="15" customFormat="1">
      <c r="A29" s="232" t="s">
        <v>746</v>
      </c>
      <c r="B29" s="37">
        <f>SUM(HH_hh_gas_aantal,HH_rest_gas_aantal)</f>
        <v>10300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10300</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10300</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45473.541420946422</v>
      </c>
      <c r="C5" s="17">
        <f>IF(ISERROR('Eigen informatie GS &amp; warmtenet'!B58),0,'Eigen informatie GS &amp; warmtenet'!B58)</f>
        <v>0</v>
      </c>
      <c r="D5" s="30">
        <f>SUM(D6:D12)</f>
        <v>65093.146650278963</v>
      </c>
      <c r="E5" s="17">
        <f>SUM(E6:E12)</f>
        <v>1123.9206810662035</v>
      </c>
      <c r="F5" s="17">
        <f>SUM(F6:F12)</f>
        <v>10380.702309422943</v>
      </c>
      <c r="G5" s="18"/>
      <c r="H5" s="17"/>
      <c r="I5" s="17"/>
      <c r="J5" s="17">
        <f>SUM(J6:J12)</f>
        <v>0</v>
      </c>
      <c r="K5" s="17"/>
      <c r="L5" s="17"/>
      <c r="M5" s="17"/>
      <c r="N5" s="17">
        <f>SUM(N6:N12)</f>
        <v>4494.7406956918103</v>
      </c>
      <c r="O5" s="17">
        <f>B38*B39*B40</f>
        <v>3.1266666666666669</v>
      </c>
      <c r="P5" s="17">
        <f>B46*B47*B48/1000-B46*B47*B48/1000/B49</f>
        <v>38.133333333333333</v>
      </c>
      <c r="R5" s="32"/>
    </row>
    <row r="6" spans="1:18">
      <c r="A6" s="32" t="s">
        <v>54</v>
      </c>
      <c r="B6" s="37">
        <f>B26</f>
        <v>8168.1318650288204</v>
      </c>
      <c r="C6" s="33"/>
      <c r="D6" s="37">
        <f>IF(ISERROR(TER_kantoor_gas_kWh/1000),0,TER_kantoor_gas_kWh/1000)*0.902</f>
        <v>20386.887750187503</v>
      </c>
      <c r="E6" s="33">
        <f>$C$26*'E Balans VL '!I12/100/3.6*1000000</f>
        <v>31.734921589909852</v>
      </c>
      <c r="F6" s="33">
        <f>$C$26*('E Balans VL '!L12+'E Balans VL '!N12)/100/3.6*1000000</f>
        <v>1242.2985325965412</v>
      </c>
      <c r="G6" s="34"/>
      <c r="H6" s="33"/>
      <c r="I6" s="33"/>
      <c r="J6" s="33">
        <f>$C$26*('E Balans VL '!D12+'E Balans VL '!E12)/100/3.6*1000000</f>
        <v>0</v>
      </c>
      <c r="K6" s="33"/>
      <c r="L6" s="33"/>
      <c r="M6" s="33"/>
      <c r="N6" s="33">
        <f>$C$26*'E Balans VL '!Y12/100/3.6*1000000</f>
        <v>4.5016191757304007</v>
      </c>
      <c r="O6" s="33"/>
      <c r="P6" s="33"/>
      <c r="R6" s="32"/>
    </row>
    <row r="7" spans="1:18">
      <c r="A7" s="32" t="s">
        <v>53</v>
      </c>
      <c r="B7" s="37">
        <f t="shared" ref="B7:B12" si="0">B27</f>
        <v>15252.731599476701</v>
      </c>
      <c r="C7" s="33"/>
      <c r="D7" s="37">
        <f>IF(ISERROR(TER_horeca_gas_kWh/1000),0,TER_horeca_gas_kWh/1000)*0.902</f>
        <v>19177.500964837731</v>
      </c>
      <c r="E7" s="33">
        <f>$C$27*'E Balans VL '!I9/100/3.6*1000000</f>
        <v>859.19044890331475</v>
      </c>
      <c r="F7" s="33">
        <f>$C$27*('E Balans VL '!L9+'E Balans VL '!N9)/100/3.6*1000000</f>
        <v>4397.9746308895137</v>
      </c>
      <c r="G7" s="34"/>
      <c r="H7" s="33"/>
      <c r="I7" s="33"/>
      <c r="J7" s="33">
        <f>$C$27*('E Balans VL '!D9+'E Balans VL '!E9)/100/3.6*1000000</f>
        <v>0</v>
      </c>
      <c r="K7" s="33"/>
      <c r="L7" s="33"/>
      <c r="M7" s="33"/>
      <c r="N7" s="33">
        <f>$C$27*'E Balans VL '!Y9/100/3.6*1000000</f>
        <v>4.2111999339647355</v>
      </c>
      <c r="O7" s="33"/>
      <c r="P7" s="33"/>
      <c r="R7" s="32"/>
    </row>
    <row r="8" spans="1:18">
      <c r="A8" s="6" t="s">
        <v>52</v>
      </c>
      <c r="B8" s="37">
        <f t="shared" si="0"/>
        <v>10820.1355305615</v>
      </c>
      <c r="C8" s="33"/>
      <c r="D8" s="37">
        <f>IF(ISERROR(TER_handel_gas_kWh/1000),0,TER_handel_gas_kWh/1000)*0.902</f>
        <v>8835.9879560125191</v>
      </c>
      <c r="E8" s="33">
        <f>$C$28*'E Balans VL '!I13/100/3.6*1000000</f>
        <v>155.95486206358703</v>
      </c>
      <c r="F8" s="33">
        <f>$C$28*('E Balans VL '!L13+'E Balans VL '!N13)/100/3.6*1000000</f>
        <v>1879.7095256114512</v>
      </c>
      <c r="G8" s="34"/>
      <c r="H8" s="33"/>
      <c r="I8" s="33"/>
      <c r="J8" s="33">
        <f>$C$28*('E Balans VL '!D13+'E Balans VL '!E13)/100/3.6*1000000</f>
        <v>0</v>
      </c>
      <c r="K8" s="33"/>
      <c r="L8" s="33"/>
      <c r="M8" s="33"/>
      <c r="N8" s="33">
        <f>$C$28*'E Balans VL '!Y13/100/3.6*1000000</f>
        <v>32.41833057186286</v>
      </c>
      <c r="O8" s="33"/>
      <c r="P8" s="33"/>
      <c r="R8" s="32"/>
    </row>
    <row r="9" spans="1:18">
      <c r="A9" s="32" t="s">
        <v>51</v>
      </c>
      <c r="B9" s="37">
        <f t="shared" si="0"/>
        <v>887.00366411387006</v>
      </c>
      <c r="C9" s="33"/>
      <c r="D9" s="37">
        <f>IF(ISERROR(TER_gezond_gas_kWh/1000),0,TER_gezond_gas_kWh/1000)*0.902</f>
        <v>843.73017150188468</v>
      </c>
      <c r="E9" s="33">
        <f>$C$29*'E Balans VL '!I10/100/3.6*1000000</f>
        <v>0.94754981618043488</v>
      </c>
      <c r="F9" s="33">
        <f>$C$29*('E Balans VL '!L10+'E Balans VL '!N10)/100/3.6*1000000</f>
        <v>144.69725466989453</v>
      </c>
      <c r="G9" s="34"/>
      <c r="H9" s="33"/>
      <c r="I9" s="33"/>
      <c r="J9" s="33">
        <f>$C$29*('E Balans VL '!D10+'E Balans VL '!E10)/100/3.6*1000000</f>
        <v>0</v>
      </c>
      <c r="K9" s="33"/>
      <c r="L9" s="33"/>
      <c r="M9" s="33"/>
      <c r="N9" s="33">
        <f>$C$29*'E Balans VL '!Y10/100/3.6*1000000</f>
        <v>9.1311966078586817</v>
      </c>
      <c r="O9" s="33"/>
      <c r="P9" s="33"/>
      <c r="R9" s="32"/>
    </row>
    <row r="10" spans="1:18">
      <c r="A10" s="32" t="s">
        <v>50</v>
      </c>
      <c r="B10" s="37">
        <f t="shared" si="0"/>
        <v>5929.7988776703496</v>
      </c>
      <c r="C10" s="33"/>
      <c r="D10" s="37">
        <f>IF(ISERROR(TER_ander_gas_kWh/1000),0,TER_ander_gas_kWh/1000)*0.902</f>
        <v>7125.9069348082458</v>
      </c>
      <c r="E10" s="33">
        <f>$C$30*'E Balans VL '!I14/100/3.6*1000000</f>
        <v>27.270243049038697</v>
      </c>
      <c r="F10" s="33">
        <f>$C$30*('E Balans VL '!L14+'E Balans VL '!N14)/100/3.6*1000000</f>
        <v>1777.3477663054821</v>
      </c>
      <c r="G10" s="34"/>
      <c r="H10" s="33"/>
      <c r="I10" s="33"/>
      <c r="J10" s="33">
        <f>$C$30*('E Balans VL '!D14+'E Balans VL '!E14)/100/3.6*1000000</f>
        <v>0</v>
      </c>
      <c r="K10" s="33"/>
      <c r="L10" s="33"/>
      <c r="M10" s="33"/>
      <c r="N10" s="33">
        <f>$C$30*'E Balans VL '!Y14/100/3.6*1000000</f>
        <v>4127.5314494406293</v>
      </c>
      <c r="O10" s="33"/>
      <c r="P10" s="33"/>
      <c r="R10" s="32"/>
    </row>
    <row r="11" spans="1:18">
      <c r="A11" s="32" t="s">
        <v>55</v>
      </c>
      <c r="B11" s="37">
        <f t="shared" si="0"/>
        <v>422.97163926429999</v>
      </c>
      <c r="C11" s="33"/>
      <c r="D11" s="37">
        <f>IF(ISERROR(TER_onderwijs_gas_kWh/1000),0,TER_onderwijs_gas_kWh/1000)*0.902</f>
        <v>1177.6173581600387</v>
      </c>
      <c r="E11" s="33">
        <f>$C$31*'E Balans VL '!I11/100/3.6*1000000</f>
        <v>0.39236181990114105</v>
      </c>
      <c r="F11" s="33">
        <f>$C$31*('E Balans VL '!L11+'E Balans VL '!N11)/100/3.6*1000000</f>
        <v>148.580215569345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3992.7682448308797</v>
      </c>
      <c r="C12" s="33"/>
      <c r="D12" s="37">
        <f>IF(ISERROR(TER_rest_gas_kWh/1000),0,TER_rest_gas_kWh/1000)*0.902</f>
        <v>7545.5155147710366</v>
      </c>
      <c r="E12" s="33">
        <f>$C$32*'E Balans VL '!I8/100/3.6*1000000</f>
        <v>48.43029382427126</v>
      </c>
      <c r="F12" s="33">
        <f>$C$32*('E Balans VL '!L8+'E Balans VL '!N8)/100/3.6*1000000</f>
        <v>790.09438378071513</v>
      </c>
      <c r="G12" s="34"/>
      <c r="H12" s="33"/>
      <c r="I12" s="33"/>
      <c r="J12" s="33">
        <f>$C$32*('E Balans VL '!D8+'E Balans VL '!E8)/100/3.6*1000000</f>
        <v>0</v>
      </c>
      <c r="K12" s="33"/>
      <c r="L12" s="33"/>
      <c r="M12" s="33"/>
      <c r="N12" s="33">
        <f>$C$32*'E Balans VL '!Y8/100/3.6*1000000</f>
        <v>316.94689996176351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45473.541420946422</v>
      </c>
      <c r="C16" s="21">
        <f t="shared" ca="1" si="1"/>
        <v>0</v>
      </c>
      <c r="D16" s="21">
        <f t="shared" ca="1" si="1"/>
        <v>65093.146650278963</v>
      </c>
      <c r="E16" s="21">
        <f t="shared" si="1"/>
        <v>1123.9206810662035</v>
      </c>
      <c r="F16" s="21">
        <f t="shared" ca="1" si="1"/>
        <v>10380.702309422943</v>
      </c>
      <c r="G16" s="21">
        <f t="shared" si="1"/>
        <v>0</v>
      </c>
      <c r="H16" s="21">
        <f t="shared" si="1"/>
        <v>0</v>
      </c>
      <c r="I16" s="21">
        <f t="shared" si="1"/>
        <v>0</v>
      </c>
      <c r="J16" s="21">
        <f t="shared" si="1"/>
        <v>0</v>
      </c>
      <c r="K16" s="21">
        <f t="shared" si="1"/>
        <v>0</v>
      </c>
      <c r="L16" s="21">
        <f t="shared" ca="1" si="1"/>
        <v>0</v>
      </c>
      <c r="M16" s="21">
        <f t="shared" si="1"/>
        <v>0</v>
      </c>
      <c r="N16" s="21">
        <f t="shared" ca="1" si="1"/>
        <v>4494.7406956918103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0.21516156447006599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9784.1583141251795</v>
      </c>
      <c r="C20" s="23">
        <f t="shared" ref="C20:P20" ca="1" si="2">C16*C18</f>
        <v>0</v>
      </c>
      <c r="D20" s="23">
        <f t="shared" ca="1" si="2"/>
        <v>13148.815623356351</v>
      </c>
      <c r="E20" s="23">
        <f t="shared" si="2"/>
        <v>255.12999460202821</v>
      </c>
      <c r="F20" s="23">
        <f t="shared" ca="1" si="2"/>
        <v>2771.6475166159257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8168.1318650288204</v>
      </c>
      <c r="C26" s="39">
        <f>IF(ISERROR(B26*3.6/1000000/'E Balans VL '!Z12*100),0,B26*3.6/1000000/'E Balans VL '!Z12*100)</f>
        <v>0.17349516677976962</v>
      </c>
      <c r="D26" s="239" t="s">
        <v>692</v>
      </c>
      <c r="F26" s="6"/>
    </row>
    <row r="27" spans="1:18">
      <c r="A27" s="233" t="s">
        <v>53</v>
      </c>
      <c r="B27" s="33">
        <f>IF(ISERROR(TER_horeca_ele_kWh/1000),0,TER_horeca_ele_kWh/1000)</f>
        <v>15252.731599476701</v>
      </c>
      <c r="C27" s="39">
        <f>IF(ISERROR(B27*3.6/1000000/'E Balans VL '!Z9*100),0,B27*3.6/1000000/'E Balans VL '!Z9*100)</f>
        <v>1.1859927721889789</v>
      </c>
      <c r="D27" s="239" t="s">
        <v>692</v>
      </c>
      <c r="F27" s="6"/>
    </row>
    <row r="28" spans="1:18">
      <c r="A28" s="173" t="s">
        <v>52</v>
      </c>
      <c r="B28" s="33">
        <f>IF(ISERROR(TER_handel_ele_kWh/1000),0,TER_handel_ele_kWh/1000)</f>
        <v>10820.1355305615</v>
      </c>
      <c r="C28" s="39">
        <f>IF(ISERROR(B28*3.6/1000000/'E Balans VL '!Z13*100),0,B28*3.6/1000000/'E Balans VL '!Z13*100)</f>
        <v>0.30957681155503469</v>
      </c>
      <c r="D28" s="239" t="s">
        <v>692</v>
      </c>
      <c r="F28" s="6"/>
    </row>
    <row r="29" spans="1:18">
      <c r="A29" s="233" t="s">
        <v>51</v>
      </c>
      <c r="B29" s="33">
        <f>IF(ISERROR(TER_gezond_ele_kWh/1000),0,TER_gezond_ele_kWh/1000)</f>
        <v>887.00366411387006</v>
      </c>
      <c r="C29" s="39">
        <f>IF(ISERROR(B29*3.6/1000000/'E Balans VL '!Z10*100),0,B29*3.6/1000000/'E Balans VL '!Z10*100)</f>
        <v>9.6704010881591834E-2</v>
      </c>
      <c r="D29" s="239" t="s">
        <v>692</v>
      </c>
      <c r="F29" s="6"/>
    </row>
    <row r="30" spans="1:18">
      <c r="A30" s="233" t="s">
        <v>50</v>
      </c>
      <c r="B30" s="33">
        <f>IF(ISERROR(TER_ander_ele_kWh/1000),0,TER_ander_ele_kWh/1000)</f>
        <v>5929.7988776703496</v>
      </c>
      <c r="C30" s="39">
        <f>IF(ISERROR(B30*3.6/1000000/'E Balans VL '!Z14*100),0,B30*3.6/1000000/'E Balans VL '!Z14*100)</f>
        <v>0.43392923043803439</v>
      </c>
      <c r="D30" s="239" t="s">
        <v>692</v>
      </c>
      <c r="F30" s="6"/>
    </row>
    <row r="31" spans="1:18">
      <c r="A31" s="233" t="s">
        <v>55</v>
      </c>
      <c r="B31" s="33">
        <f>IF(ISERROR(TER_onderwijs_ele_kWh/1000),0,TER_onderwijs_ele_kWh/1000)</f>
        <v>422.97163926429999</v>
      </c>
      <c r="C31" s="39">
        <f>IF(ISERROR(B31*3.6/1000000/'E Balans VL '!Z11*100),0,B31*3.6/1000000/'E Balans VL '!Z11*100)</f>
        <v>8.495416783631296E-2</v>
      </c>
      <c r="D31" s="239" t="s">
        <v>692</v>
      </c>
    </row>
    <row r="32" spans="1:18">
      <c r="A32" s="233" t="s">
        <v>260</v>
      </c>
      <c r="B32" s="33">
        <f>IF(ISERROR(TER_rest_ele_kWh/1000),0,TER_rest_ele_kWh/1000)</f>
        <v>3992.7682448308797</v>
      </c>
      <c r="C32" s="39">
        <f>IF(ISERROR(B32*3.6/1000000/'E Balans VL '!Z8*100),0,B32*3.6/1000000/'E Balans VL '!Z8*100)</f>
        <v>3.2538638107439025E-2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3527.9325170153866</v>
      </c>
      <c r="C5" s="17">
        <f>IF(ISERROR('Eigen informatie GS &amp; warmtenet'!B59),0,'Eigen informatie GS &amp; warmtenet'!B59)</f>
        <v>0</v>
      </c>
      <c r="D5" s="30">
        <f>SUM(D6:D15)</f>
        <v>3158.300640789384</v>
      </c>
      <c r="E5" s="17">
        <f>SUM(E6:E15)</f>
        <v>722.62571008706504</v>
      </c>
      <c r="F5" s="17">
        <f>SUM(F6:F15)</f>
        <v>2746.387763960644</v>
      </c>
      <c r="G5" s="18"/>
      <c r="H5" s="17"/>
      <c r="I5" s="17"/>
      <c r="J5" s="17">
        <f>SUM(J6:J15)</f>
        <v>0.53172609442871099</v>
      </c>
      <c r="K5" s="17"/>
      <c r="L5" s="17"/>
      <c r="M5" s="17"/>
      <c r="N5" s="17">
        <f>SUM(N6:N15)</f>
        <v>1150.3373301170066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166.84935346753798</v>
      </c>
      <c r="C8" s="33"/>
      <c r="D8" s="37">
        <f>IF( ISERROR(IND_metaal_Gas_kWH/1000),0,IND_metaal_Gas_kWH/1000)*0.902</f>
        <v>0</v>
      </c>
      <c r="E8" s="33">
        <f>C30*'E Balans VL '!I18/100/3.6*1000000</f>
        <v>4.7925397072300147</v>
      </c>
      <c r="F8" s="33">
        <f>C30*'E Balans VL '!L18/100/3.6*1000000+C30*'E Balans VL '!N18/100/3.6*1000000</f>
        <v>42.793650190190498</v>
      </c>
      <c r="G8" s="34"/>
      <c r="H8" s="33"/>
      <c r="I8" s="33"/>
      <c r="J8" s="40">
        <f>C30*'E Balans VL '!D18/100/3.6*1000000+C30*'E Balans VL '!E18/100/3.6*1000000</f>
        <v>0</v>
      </c>
      <c r="K8" s="33"/>
      <c r="L8" s="33"/>
      <c r="M8" s="33"/>
      <c r="N8" s="33">
        <f>C30*'E Balans VL '!Y18/100/3.6*1000000</f>
        <v>4.5303005344277842</v>
      </c>
      <c r="O8" s="33"/>
      <c r="P8" s="33"/>
      <c r="R8" s="32"/>
    </row>
    <row r="9" spans="1:18">
      <c r="A9" s="6" t="s">
        <v>33</v>
      </c>
      <c r="B9" s="37">
        <f t="shared" si="0"/>
        <v>2394.34964859808</v>
      </c>
      <c r="C9" s="33"/>
      <c r="D9" s="37">
        <f>IF( ISERROR(IND_andere_gas_kWh/1000),0,IND_andere_gas_kWh/1000)*0.902</f>
        <v>1832.0441834105791</v>
      </c>
      <c r="E9" s="33">
        <f>C31*'E Balans VL '!I19/100/3.6*1000000</f>
        <v>648.09157990384881</v>
      </c>
      <c r="F9" s="33">
        <f>C31*'E Balans VL '!L19/100/3.6*1000000+C31*'E Balans VL '!N19/100/3.6*1000000</f>
        <v>1594.8902410867352</v>
      </c>
      <c r="G9" s="34"/>
      <c r="H9" s="33"/>
      <c r="I9" s="33"/>
      <c r="J9" s="40">
        <f>C31*'E Balans VL '!D19/100/3.6*1000000+C31*'E Balans VL '!E19/100/3.6*1000000</f>
        <v>0</v>
      </c>
      <c r="K9" s="33"/>
      <c r="L9" s="33"/>
      <c r="M9" s="33"/>
      <c r="N9" s="33">
        <f>C31*'E Balans VL '!Y19/100/3.6*1000000</f>
        <v>781.71538671455596</v>
      </c>
      <c r="O9" s="33"/>
      <c r="P9" s="33"/>
      <c r="R9" s="32"/>
    </row>
    <row r="10" spans="1:18">
      <c r="A10" s="6" t="s">
        <v>41</v>
      </c>
      <c r="B10" s="37">
        <f t="shared" si="0"/>
        <v>708.70834774463606</v>
      </c>
      <c r="C10" s="33"/>
      <c r="D10" s="37">
        <f>IF( ISERROR(IND_voed_gas_kWh/1000),0,IND_voed_gas_kWh/1000)*0.902</f>
        <v>460.49903361087871</v>
      </c>
      <c r="E10" s="33">
        <f>C32*'E Balans VL '!I20/100/3.6*1000000</f>
        <v>57.803881057113102</v>
      </c>
      <c r="F10" s="33">
        <f>C32*'E Balans VL '!L20/100/3.6*1000000+C32*'E Balans VL '!N20/100/3.6*1000000</f>
        <v>1056.7484461425786</v>
      </c>
      <c r="G10" s="34"/>
      <c r="H10" s="33"/>
      <c r="I10" s="33"/>
      <c r="J10" s="40">
        <f>C32*'E Balans VL '!D20/100/3.6*1000000+C32*'E Balans VL '!E20/100/3.6*1000000</f>
        <v>9.3753511841313114E-3</v>
      </c>
      <c r="K10" s="33"/>
      <c r="L10" s="33"/>
      <c r="M10" s="33"/>
      <c r="N10" s="33">
        <f>C32*'E Balans VL '!Y20/100/3.6*1000000</f>
        <v>208.19350494630041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54.225741895977301</v>
      </c>
      <c r="C13" s="33"/>
      <c r="D13" s="37">
        <f>IF( ISERROR(IND_papier_gas_kWh/1000),0,IND_papier_gas_kWh/1000)*0.902</f>
        <v>0</v>
      </c>
      <c r="E13" s="33">
        <f>C35*'E Balans VL '!I23/100/3.6*1000000</f>
        <v>0.56811343360607613</v>
      </c>
      <c r="F13" s="33">
        <f>C35*'E Balans VL '!L23/100/3.6*1000000+C35*'E Balans VL '!N23/100/3.6*1000000</f>
        <v>4.0463344715754639</v>
      </c>
      <c r="G13" s="34"/>
      <c r="H13" s="33"/>
      <c r="I13" s="33"/>
      <c r="J13" s="40">
        <f>C35*'E Balans VL '!D23/100/3.6*1000000+C35*'E Balans VL '!E23/100/3.6*1000000</f>
        <v>0</v>
      </c>
      <c r="K13" s="33"/>
      <c r="L13" s="33"/>
      <c r="M13" s="33"/>
      <c r="N13" s="33">
        <f>C35*'E Balans VL '!Y23/100/3.6*1000000</f>
        <v>115.90186339168284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203.799425309155</v>
      </c>
      <c r="C15" s="33"/>
      <c r="D15" s="37">
        <f>IF( ISERROR(IND_rest_gas_kWh/1000),0,IND_rest_gas_kWh/1000)*0.902</f>
        <v>865.75742376792653</v>
      </c>
      <c r="E15" s="33">
        <f>C37*'E Balans VL '!I15/100/3.6*1000000</f>
        <v>11.369595985266971</v>
      </c>
      <c r="F15" s="33">
        <f>C37*'E Balans VL '!L15/100/3.6*1000000+C37*'E Balans VL '!N15/100/3.6*1000000</f>
        <v>47.909092069564572</v>
      </c>
      <c r="G15" s="34"/>
      <c r="H15" s="33"/>
      <c r="I15" s="33"/>
      <c r="J15" s="40">
        <f>C37*'E Balans VL '!D15/100/3.6*1000000+C37*'E Balans VL '!E15/100/3.6*1000000</f>
        <v>0.52235074324457964</v>
      </c>
      <c r="K15" s="33"/>
      <c r="L15" s="33"/>
      <c r="M15" s="33"/>
      <c r="N15" s="33">
        <f>C37*'E Balans VL '!Y15/100/3.6*1000000</f>
        <v>39.996274530039535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3527.9325170153866</v>
      </c>
      <c r="C18" s="21">
        <f>C5+C16</f>
        <v>0</v>
      </c>
      <c r="D18" s="21">
        <f>MAX((D5+D16),0)</f>
        <v>3158.300640789384</v>
      </c>
      <c r="E18" s="21">
        <f>MAX((E5+E16),0)</f>
        <v>722.62571008706504</v>
      </c>
      <c r="F18" s="21">
        <f>MAX((F5+F16),0)</f>
        <v>2746.387763960644</v>
      </c>
      <c r="G18" s="21"/>
      <c r="H18" s="21"/>
      <c r="I18" s="21"/>
      <c r="J18" s="21">
        <f>MAX((J5+J16),0)</f>
        <v>0.53172609442871099</v>
      </c>
      <c r="K18" s="21"/>
      <c r="L18" s="21">
        <f>MAX((L5+L16),0)</f>
        <v>0</v>
      </c>
      <c r="M18" s="21"/>
      <c r="N18" s="21">
        <f>MAX((N5+N16),0)</f>
        <v>1150.3373301170066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0.21516156447006599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759.07547970584824</v>
      </c>
      <c r="C22" s="23">
        <f ca="1">C18*C20</f>
        <v>0</v>
      </c>
      <c r="D22" s="23">
        <f>D18*D20</f>
        <v>637.97672943945565</v>
      </c>
      <c r="E22" s="23">
        <f>E18*E20</f>
        <v>164.03603618976376</v>
      </c>
      <c r="F22" s="23">
        <f>F18*F20</f>
        <v>733.28553297749193</v>
      </c>
      <c r="G22" s="23"/>
      <c r="H22" s="23"/>
      <c r="I22" s="23"/>
      <c r="J22" s="23">
        <f>J18*J20</f>
        <v>0.18823103742776368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166.84935346753798</v>
      </c>
      <c r="C30" s="39">
        <f>IF(ISERROR(B30*3.6/1000000/'E Balans VL '!Z18*100),0,B30*3.6/1000000/'E Balans VL '!Z18*100)</f>
        <v>1.6417550460177593E-2</v>
      </c>
      <c r="D30" s="239" t="s">
        <v>692</v>
      </c>
    </row>
    <row r="31" spans="1:18">
      <c r="A31" s="6" t="s">
        <v>33</v>
      </c>
      <c r="B31" s="37">
        <f>IF( ISERROR(IND_ander_ele_kWh/1000),0,IND_ander_ele_kWh/1000)</f>
        <v>2394.34964859808</v>
      </c>
      <c r="C31" s="39">
        <f>IF(ISERROR(B31*3.6/1000000/'E Balans VL '!Z19*100),0,B31*3.6/1000000/'E Balans VL '!Z19*100)</f>
        <v>0.10427201724254598</v>
      </c>
      <c r="D31" s="239" t="s">
        <v>692</v>
      </c>
    </row>
    <row r="32" spans="1:18">
      <c r="A32" s="173" t="s">
        <v>41</v>
      </c>
      <c r="B32" s="37">
        <f>IF( ISERROR(IND_voed_ele_kWh/1000),0,IND_voed_ele_kWh/1000)</f>
        <v>708.70834774463606</v>
      </c>
      <c r="C32" s="39">
        <f>IF(ISERROR(B32*3.6/1000000/'E Balans VL '!Z20*100),0,B32*3.6/1000000/'E Balans VL '!Z20*100)</f>
        <v>0.13446718829829241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54.225741895977301</v>
      </c>
      <c r="C35" s="39">
        <f>IF(ISERROR(B35*3.6/1000000/'E Balans VL '!Z22*100),0,B35*3.6/1000000/'E Balans VL '!Z22*100)</f>
        <v>7.6246838285021048E-3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203.799425309155</v>
      </c>
      <c r="C37" s="39">
        <f>IF(ISERROR(B37*3.6/1000000/'E Balans VL '!Z15*100),0,B37*3.6/1000000/'E Balans VL '!Z15*100)</f>
        <v>1.5705248892988585E-3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389.28658260672518</v>
      </c>
      <c r="C5" s="17">
        <f>'Eigen informatie GS &amp; warmtenet'!B60</f>
        <v>0</v>
      </c>
      <c r="D5" s="30">
        <f>IF(ISERROR(SUM(LB_lb_gas_kWh,LB_rest_gas_kWh)/1000),0,SUM(LB_lb_gas_kWh,LB_rest_gas_kWh)/1000)*0.902</f>
        <v>102.55773757149495</v>
      </c>
      <c r="E5" s="17">
        <f>B17*'E Balans VL '!I25/3.6*1000000/100</f>
        <v>4.9055124439290303</v>
      </c>
      <c r="F5" s="17">
        <f>B17*('E Balans VL '!L25/3.6*1000000+'E Balans VL '!N25/3.6*1000000)/100</f>
        <v>1343.1362321093302</v>
      </c>
      <c r="G5" s="18"/>
      <c r="H5" s="17"/>
      <c r="I5" s="17"/>
      <c r="J5" s="17">
        <f>('E Balans VL '!D25+'E Balans VL '!E25)/3.6*1000000*landbouw!B17/100</f>
        <v>58.544276770362131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389.28658260672518</v>
      </c>
      <c r="C8" s="21">
        <f>C5+C6</f>
        <v>0</v>
      </c>
      <c r="D8" s="21">
        <f>MAX((D5+D6),0)</f>
        <v>102.55773757149495</v>
      </c>
      <c r="E8" s="21">
        <f>MAX((E5+E6),0)</f>
        <v>4.9055124439290303</v>
      </c>
      <c r="F8" s="21">
        <f>MAX((F5+F6),0)</f>
        <v>1343.1362321093302</v>
      </c>
      <c r="G8" s="21"/>
      <c r="H8" s="21"/>
      <c r="I8" s="21"/>
      <c r="J8" s="21">
        <f>MAX((J5+J6),0)</f>
        <v>58.544276770362131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0.21516156447006599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83.759510140868571</v>
      </c>
      <c r="C12" s="23">
        <f ca="1">C8*C10</f>
        <v>0</v>
      </c>
      <c r="D12" s="23">
        <f>D8*D10</f>
        <v>20.716662989441982</v>
      </c>
      <c r="E12" s="23">
        <f>E8*E10</f>
        <v>1.11355132477189</v>
      </c>
      <c r="F12" s="23">
        <f>F8*F10</f>
        <v>358.61737397319121</v>
      </c>
      <c r="G12" s="23"/>
      <c r="H12" s="23"/>
      <c r="I12" s="23"/>
      <c r="J12" s="23">
        <f>J8*J10</f>
        <v>20.724673976708193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5.429320867275933E-2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67.124415625414358</v>
      </c>
      <c r="C26" s="249">
        <f>B26*'GWP N2O_CH4'!B5</f>
        <v>1409.6127281337015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41.0251169768108</v>
      </c>
      <c r="C27" s="249">
        <f>B27*'GWP N2O_CH4'!B5</f>
        <v>861.52745651302678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1.0189655848700332</v>
      </c>
      <c r="C28" s="249">
        <f>B28*'GWP N2O_CH4'!B4</f>
        <v>315.87933130971027</v>
      </c>
      <c r="D28" s="50"/>
    </row>
    <row r="29" spans="1:4">
      <c r="A29" s="41" t="s">
        <v>277</v>
      </c>
      <c r="B29" s="249">
        <f>B34*'ha_N2O bodem landbouw'!B4</f>
        <v>6.218715618528341</v>
      </c>
      <c r="C29" s="249">
        <f>B29*'GWP N2O_CH4'!B4</f>
        <v>1927.8018417437856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1.5527511508057498E-3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6.5941300833300219E-6</v>
      </c>
      <c r="C5" s="448" t="s">
        <v>211</v>
      </c>
      <c r="D5" s="433">
        <f>SUM(D6:D11)</f>
        <v>1.0198448638986099E-5</v>
      </c>
      <c r="E5" s="433">
        <f>SUM(E6:E11)</f>
        <v>3.1544062266774728E-4</v>
      </c>
      <c r="F5" s="446" t="s">
        <v>211</v>
      </c>
      <c r="G5" s="433">
        <f>SUM(G6:G11)</f>
        <v>8.5889943510830624E-2</v>
      </c>
      <c r="H5" s="433">
        <f>SUM(H6:H11)</f>
        <v>1.5331842455233082E-2</v>
      </c>
      <c r="I5" s="448" t="s">
        <v>211</v>
      </c>
      <c r="J5" s="448" t="s">
        <v>211</v>
      </c>
      <c r="K5" s="448" t="s">
        <v>211</v>
      </c>
      <c r="L5" s="448" t="s">
        <v>211</v>
      </c>
      <c r="M5" s="433">
        <f>SUM(M6:M11)</f>
        <v>4.5757947431708532E-3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5.8172186964678866E-6</v>
      </c>
      <c r="C6" s="887"/>
      <c r="D6" s="887">
        <f>vkm_2011_GW_PW*SUMIFS(TableVerdeelsleutelVkm[CNG],TableVerdeelsleutelVkm[Voertuigtype],"Lichte voertuigen")*SUMIFS(TableECFTransport[EnergieConsumptieFactor (PJ per km)],TableECFTransport[Index],CONCATENATE($A6,"_CNG_CNG"))</f>
        <v>8.2383194094055492E-6</v>
      </c>
      <c r="E6" s="887">
        <f>vkm_2011_GW_PW*SUMIFS(TableVerdeelsleutelVkm[LPG],TableVerdeelsleutelVkm[Voertuigtype],"Lichte voertuigen")*SUMIFS(TableECFTransport[EnergieConsumptieFactor (PJ per km)],TableECFTransport[Index],CONCATENATE($A6,"_LPG_LPG"))</f>
        <v>2.587384913859256E-4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4.6502391689573888E-2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1.2460690039483299E-2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2.6676782206626498E-3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2.3517558653707634E-2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8.3555447887173193E-6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1.0612729941022923E-3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7.7691138686213516E-7</v>
      </c>
      <c r="C8" s="887"/>
      <c r="D8" s="436">
        <f>vkm_2011_NGW_PW*SUMIFS(TableVerdeelsleutelVkm[CNG],TableVerdeelsleutelVkm[Voertuigtype],"Lichte voertuigen")*SUMIFS(TableECFTransport[EnergieConsumptieFactor (PJ per km)],TableECFTransport[Index],CONCATENATE($A8,"_CNG_CNG"))</f>
        <v>1.9601292295805506E-6</v>
      </c>
      <c r="E8" s="436">
        <f>vkm_2011_NGW_PW*SUMIFS(TableVerdeelsleutelVkm[LPG],TableVerdeelsleutelVkm[Voertuigtype],"Lichte voertuigen")*SUMIFS(TableECFTransport[EnergieConsumptieFactor (PJ per km)],TableECFTransport[Index],CONCATENATE($A8,"_LPG_LPG"))</f>
        <v>5.6702131281821677E-5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9.6115610926428494E-3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2.8606927399339728E-3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5.6442575770828567E-4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6.2584320749062526E-3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2.1041310270927873E-6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2.8241777069762549E-4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1.831702800925006</v>
      </c>
      <c r="C14" s="21"/>
      <c r="D14" s="21">
        <f t="shared" ref="D14:M14" si="0">((D5)*10^9/3600)+D12</f>
        <v>2.8329023997183609</v>
      </c>
      <c r="E14" s="21">
        <f t="shared" si="0"/>
        <v>87.622395185485345</v>
      </c>
      <c r="F14" s="21"/>
      <c r="G14" s="21">
        <f t="shared" si="0"/>
        <v>23858.317641897396</v>
      </c>
      <c r="H14" s="21">
        <f t="shared" si="0"/>
        <v>4258.8451264536343</v>
      </c>
      <c r="I14" s="21"/>
      <c r="J14" s="21"/>
      <c r="K14" s="21"/>
      <c r="L14" s="21"/>
      <c r="M14" s="21">
        <f t="shared" si="0"/>
        <v>1271.0540953252369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0.21516156447006599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0.39411204029122615</v>
      </c>
      <c r="C18" s="23"/>
      <c r="D18" s="23">
        <f t="shared" ref="D18:M18" si="1">D14*D16</f>
        <v>0.5722462847431089</v>
      </c>
      <c r="E18" s="23">
        <f t="shared" si="1"/>
        <v>19.890283707105173</v>
      </c>
      <c r="F18" s="23"/>
      <c r="G18" s="23">
        <f t="shared" si="1"/>
        <v>6370.1708103866049</v>
      </c>
      <c r="H18" s="23">
        <f t="shared" si="1"/>
        <v>1060.4524364869549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2.8621067031652228E-3</v>
      </c>
      <c r="C50" s="323">
        <f t="shared" ref="C50:P50" si="2">SUM(C51:C52)</f>
        <v>0</v>
      </c>
      <c r="D50" s="323">
        <f t="shared" si="2"/>
        <v>0</v>
      </c>
      <c r="E50" s="323">
        <f t="shared" si="2"/>
        <v>0</v>
      </c>
      <c r="F50" s="323">
        <f t="shared" si="2"/>
        <v>0</v>
      </c>
      <c r="G50" s="323">
        <f t="shared" si="2"/>
        <v>1.2163669465740093E-3</v>
      </c>
      <c r="H50" s="323">
        <f t="shared" si="2"/>
        <v>0</v>
      </c>
      <c r="I50" s="323">
        <f t="shared" si="2"/>
        <v>0</v>
      </c>
      <c r="J50" s="323">
        <f t="shared" si="2"/>
        <v>0</v>
      </c>
      <c r="K50" s="323">
        <f t="shared" si="2"/>
        <v>0</v>
      </c>
      <c r="L50" s="323">
        <f t="shared" si="2"/>
        <v>0</v>
      </c>
      <c r="M50" s="323">
        <f t="shared" si="2"/>
        <v>5.409481324598294E-5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1.2163669465740093E-3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5.409481324598294E-5</v>
      </c>
      <c r="N51" s="325"/>
      <c r="O51" s="325"/>
      <c r="P51" s="328"/>
    </row>
    <row r="52" spans="1:18">
      <c r="A52" s="4" t="s">
        <v>330</v>
      </c>
      <c r="B52" s="329">
        <f>vkm_2011_tram*SUMIFS(TableECFTransport[EnergieConsumptieFactor (PJ per km)],TableECFTransport[Index],"Tram_gemiddeld_Electric_Electric")</f>
        <v>2.8621067031652228E-3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795.02963976811748</v>
      </c>
      <c r="C54" s="21">
        <f t="shared" ref="C54:P54" si="3">(C50)*10^9/3600</f>
        <v>0</v>
      </c>
      <c r="D54" s="21">
        <f t="shared" si="3"/>
        <v>0</v>
      </c>
      <c r="E54" s="21">
        <f t="shared" si="3"/>
        <v>0</v>
      </c>
      <c r="F54" s="21">
        <f t="shared" si="3"/>
        <v>0</v>
      </c>
      <c r="G54" s="21">
        <f t="shared" si="3"/>
        <v>337.87970738166922</v>
      </c>
      <c r="H54" s="21">
        <f t="shared" si="3"/>
        <v>0</v>
      </c>
      <c r="I54" s="21">
        <f t="shared" si="3"/>
        <v>0</v>
      </c>
      <c r="J54" s="21">
        <f t="shared" si="3"/>
        <v>0</v>
      </c>
      <c r="K54" s="21">
        <f t="shared" si="3"/>
        <v>0</v>
      </c>
      <c r="L54" s="21">
        <f t="shared" si="3"/>
        <v>0</v>
      </c>
      <c r="M54" s="21">
        <f t="shared" si="3"/>
        <v>15.026337012773039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0.21516156447006599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171.05982109258113</v>
      </c>
      <c r="C58" s="23">
        <f t="shared" ref="C58:P58" ca="1" si="4">C54*C56</f>
        <v>0</v>
      </c>
      <c r="D58" s="23">
        <f t="shared" si="4"/>
        <v>0</v>
      </c>
      <c r="E58" s="23">
        <f t="shared" si="4"/>
        <v>0</v>
      </c>
      <c r="F58" s="23">
        <f t="shared" si="4"/>
        <v>0</v>
      </c>
      <c r="G58" s="23">
        <f t="shared" si="4"/>
        <v>90.213881870905681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47269.333524821472</v>
      </c>
      <c r="D10" s="690">
        <f ca="1">tertiair!C16</f>
        <v>0</v>
      </c>
      <c r="E10" s="690">
        <f ca="1">tertiair!D16</f>
        <v>65093.146650278963</v>
      </c>
      <c r="F10" s="690">
        <f>tertiair!E16</f>
        <v>1123.9206810662035</v>
      </c>
      <c r="G10" s="690">
        <f ca="1">tertiair!F16</f>
        <v>10380.702309422943</v>
      </c>
      <c r="H10" s="690">
        <f>tertiair!G16</f>
        <v>0</v>
      </c>
      <c r="I10" s="690">
        <f>tertiair!H16</f>
        <v>0</v>
      </c>
      <c r="J10" s="690">
        <f>tertiair!I16</f>
        <v>0</v>
      </c>
      <c r="K10" s="690">
        <f>tertiair!J16</f>
        <v>0</v>
      </c>
      <c r="L10" s="690">
        <f>tertiair!K16</f>
        <v>0</v>
      </c>
      <c r="M10" s="690">
        <f ca="1">tertiair!L16</f>
        <v>0</v>
      </c>
      <c r="N10" s="690">
        <f>tertiair!M16</f>
        <v>0</v>
      </c>
      <c r="O10" s="690">
        <f ca="1">tertiair!N16</f>
        <v>4494.7406956918103</v>
      </c>
      <c r="P10" s="690">
        <f>tertiair!O16</f>
        <v>3.1266666666666669</v>
      </c>
      <c r="Q10" s="691">
        <f>tertiair!P16</f>
        <v>38.133333333333333</v>
      </c>
      <c r="R10" s="693">
        <f ca="1">SUM(C10:Q10)</f>
        <v>128403.10386128139</v>
      </c>
      <c r="S10" s="67"/>
    </row>
    <row r="11" spans="1:19" s="458" customFormat="1">
      <c r="A11" s="805" t="s">
        <v>225</v>
      </c>
      <c r="B11" s="810"/>
      <c r="C11" s="690">
        <f>huishoudens!B8</f>
        <v>39954.219309197346</v>
      </c>
      <c r="D11" s="690">
        <f>huishoudens!C8</f>
        <v>0</v>
      </c>
      <c r="E11" s="690">
        <f>huishoudens!D8</f>
        <v>113674.59138369416</v>
      </c>
      <c r="F11" s="690">
        <f>huishoudens!E8</f>
        <v>0</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0</v>
      </c>
      <c r="P11" s="690">
        <f>huishoudens!O8</f>
        <v>93.8</v>
      </c>
      <c r="Q11" s="691">
        <f>huishoudens!P8</f>
        <v>57.2</v>
      </c>
      <c r="R11" s="693">
        <f>SUM(C11:Q11)</f>
        <v>153779.81069289151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3527.9325170153866</v>
      </c>
      <c r="D13" s="690">
        <f>industrie!C18</f>
        <v>0</v>
      </c>
      <c r="E13" s="690">
        <f>industrie!D18</f>
        <v>3158.300640789384</v>
      </c>
      <c r="F13" s="690">
        <f>industrie!E18</f>
        <v>722.62571008706504</v>
      </c>
      <c r="G13" s="690">
        <f>industrie!F18</f>
        <v>2746.387763960644</v>
      </c>
      <c r="H13" s="690">
        <f>industrie!G18</f>
        <v>0</v>
      </c>
      <c r="I13" s="690">
        <f>industrie!H18</f>
        <v>0</v>
      </c>
      <c r="J13" s="690">
        <f>industrie!I18</f>
        <v>0</v>
      </c>
      <c r="K13" s="690">
        <f>industrie!J18</f>
        <v>0.53172609442871099</v>
      </c>
      <c r="L13" s="690">
        <f>industrie!K18</f>
        <v>0</v>
      </c>
      <c r="M13" s="690">
        <f>industrie!L18</f>
        <v>0</v>
      </c>
      <c r="N13" s="690">
        <f>industrie!M18</f>
        <v>0</v>
      </c>
      <c r="O13" s="690">
        <f>industrie!N18</f>
        <v>1150.3373301170066</v>
      </c>
      <c r="P13" s="690">
        <f>industrie!O18</f>
        <v>0</v>
      </c>
      <c r="Q13" s="691">
        <f>industrie!P18</f>
        <v>0</v>
      </c>
      <c r="R13" s="693">
        <f>SUM(C13:Q13)</f>
        <v>11306.115688063916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90751.485351034207</v>
      </c>
      <c r="D16" s="725">
        <f t="shared" ref="D16:R16" ca="1" si="0">SUM(D9:D15)</f>
        <v>0</v>
      </c>
      <c r="E16" s="725">
        <f t="shared" ca="1" si="0"/>
        <v>181926.0386747625</v>
      </c>
      <c r="F16" s="725">
        <f t="shared" si="0"/>
        <v>1846.5463911532686</v>
      </c>
      <c r="G16" s="725">
        <f t="shared" ca="1" si="0"/>
        <v>13127.090073383586</v>
      </c>
      <c r="H16" s="725">
        <f t="shared" si="0"/>
        <v>0</v>
      </c>
      <c r="I16" s="725">
        <f t="shared" si="0"/>
        <v>0</v>
      </c>
      <c r="J16" s="725">
        <f t="shared" si="0"/>
        <v>0</v>
      </c>
      <c r="K16" s="725">
        <f t="shared" si="0"/>
        <v>0.53172609442871099</v>
      </c>
      <c r="L16" s="725">
        <f t="shared" si="0"/>
        <v>0</v>
      </c>
      <c r="M16" s="725">
        <f t="shared" ca="1" si="0"/>
        <v>0</v>
      </c>
      <c r="N16" s="725">
        <f t="shared" si="0"/>
        <v>0</v>
      </c>
      <c r="O16" s="725">
        <f t="shared" ca="1" si="0"/>
        <v>5645.0780258088171</v>
      </c>
      <c r="P16" s="725">
        <f t="shared" si="0"/>
        <v>96.926666666666662</v>
      </c>
      <c r="Q16" s="725">
        <f t="shared" si="0"/>
        <v>95.333333333333343</v>
      </c>
      <c r="R16" s="725">
        <f t="shared" ca="1" si="0"/>
        <v>293489.0302422368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795.02963976811748</v>
      </c>
      <c r="D19" s="690">
        <f>transport!C54</f>
        <v>0</v>
      </c>
      <c r="E19" s="690">
        <f>transport!D54</f>
        <v>0</v>
      </c>
      <c r="F19" s="690">
        <f>transport!E54</f>
        <v>0</v>
      </c>
      <c r="G19" s="690">
        <f>transport!F54</f>
        <v>0</v>
      </c>
      <c r="H19" s="690">
        <f>transport!G54</f>
        <v>337.87970738166922</v>
      </c>
      <c r="I19" s="690">
        <f>transport!H54</f>
        <v>0</v>
      </c>
      <c r="J19" s="690">
        <f>transport!I54</f>
        <v>0</v>
      </c>
      <c r="K19" s="690">
        <f>transport!J54</f>
        <v>0</v>
      </c>
      <c r="L19" s="690">
        <f>transport!K54</f>
        <v>0</v>
      </c>
      <c r="M19" s="690">
        <f>transport!L54</f>
        <v>0</v>
      </c>
      <c r="N19" s="690">
        <f>transport!M54</f>
        <v>15.026337012773039</v>
      </c>
      <c r="O19" s="690">
        <f>transport!N54</f>
        <v>0</v>
      </c>
      <c r="P19" s="690">
        <f>transport!O54</f>
        <v>0</v>
      </c>
      <c r="Q19" s="691">
        <f>transport!P54</f>
        <v>0</v>
      </c>
      <c r="R19" s="693">
        <f>SUM(C19:Q19)</f>
        <v>1147.9356841625597</v>
      </c>
      <c r="S19" s="67"/>
    </row>
    <row r="20" spans="1:19" s="458" customFormat="1">
      <c r="A20" s="805" t="s">
        <v>307</v>
      </c>
      <c r="B20" s="810"/>
      <c r="C20" s="690">
        <f>transport!B14</f>
        <v>1.831702800925006</v>
      </c>
      <c r="D20" s="690">
        <f>transport!C14</f>
        <v>0</v>
      </c>
      <c r="E20" s="690">
        <f>transport!D14</f>
        <v>2.8329023997183609</v>
      </c>
      <c r="F20" s="690">
        <f>transport!E14</f>
        <v>87.622395185485345</v>
      </c>
      <c r="G20" s="690">
        <f>transport!F14</f>
        <v>0</v>
      </c>
      <c r="H20" s="690">
        <f>transport!G14</f>
        <v>23858.317641897396</v>
      </c>
      <c r="I20" s="690">
        <f>transport!H14</f>
        <v>4258.8451264536343</v>
      </c>
      <c r="J20" s="690">
        <f>transport!I14</f>
        <v>0</v>
      </c>
      <c r="K20" s="690">
        <f>transport!J14</f>
        <v>0</v>
      </c>
      <c r="L20" s="690">
        <f>transport!K14</f>
        <v>0</v>
      </c>
      <c r="M20" s="690">
        <f>transport!L14</f>
        <v>0</v>
      </c>
      <c r="N20" s="690">
        <f>transport!M14</f>
        <v>1271.0540953252369</v>
      </c>
      <c r="O20" s="690">
        <f>transport!N14</f>
        <v>0</v>
      </c>
      <c r="P20" s="690">
        <f>transport!O14</f>
        <v>0</v>
      </c>
      <c r="Q20" s="691">
        <f>transport!P14</f>
        <v>0</v>
      </c>
      <c r="R20" s="693">
        <f>SUM(C20:Q20)</f>
        <v>29480.503864062397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796.86134256904245</v>
      </c>
      <c r="D22" s="808">
        <f t="shared" ref="D22:R22" si="1">SUM(D18:D21)</f>
        <v>0</v>
      </c>
      <c r="E22" s="808">
        <f t="shared" si="1"/>
        <v>2.8329023997183609</v>
      </c>
      <c r="F22" s="808">
        <f t="shared" si="1"/>
        <v>87.622395185485345</v>
      </c>
      <c r="G22" s="808">
        <f t="shared" si="1"/>
        <v>0</v>
      </c>
      <c r="H22" s="808">
        <f t="shared" si="1"/>
        <v>24196.197349279064</v>
      </c>
      <c r="I22" s="808">
        <f t="shared" si="1"/>
        <v>4258.8451264536343</v>
      </c>
      <c r="J22" s="808">
        <f t="shared" si="1"/>
        <v>0</v>
      </c>
      <c r="K22" s="808">
        <f t="shared" si="1"/>
        <v>0</v>
      </c>
      <c r="L22" s="808">
        <f t="shared" si="1"/>
        <v>0</v>
      </c>
      <c r="M22" s="808">
        <f t="shared" si="1"/>
        <v>0</v>
      </c>
      <c r="N22" s="808">
        <f t="shared" si="1"/>
        <v>1286.0804323380098</v>
      </c>
      <c r="O22" s="808">
        <f t="shared" si="1"/>
        <v>0</v>
      </c>
      <c r="P22" s="808">
        <f t="shared" si="1"/>
        <v>0</v>
      </c>
      <c r="Q22" s="808">
        <f t="shared" si="1"/>
        <v>0</v>
      </c>
      <c r="R22" s="808">
        <f t="shared" si="1"/>
        <v>30628.439548224957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389.28658260672518</v>
      </c>
      <c r="D24" s="690">
        <f>+landbouw!C8</f>
        <v>0</v>
      </c>
      <c r="E24" s="690">
        <f>+landbouw!D8</f>
        <v>102.55773757149495</v>
      </c>
      <c r="F24" s="690">
        <f>+landbouw!E8</f>
        <v>4.9055124439290303</v>
      </c>
      <c r="G24" s="690">
        <f>+landbouw!F8</f>
        <v>1343.1362321093302</v>
      </c>
      <c r="H24" s="690">
        <f>+landbouw!G8</f>
        <v>0</v>
      </c>
      <c r="I24" s="690">
        <f>+landbouw!H8</f>
        <v>0</v>
      </c>
      <c r="J24" s="690">
        <f>+landbouw!I8</f>
        <v>0</v>
      </c>
      <c r="K24" s="690">
        <f>+landbouw!J8</f>
        <v>58.544276770362131</v>
      </c>
      <c r="L24" s="690">
        <f>+landbouw!K8</f>
        <v>0</v>
      </c>
      <c r="M24" s="690">
        <f>+landbouw!L8</f>
        <v>0</v>
      </c>
      <c r="N24" s="690">
        <f>+landbouw!M8</f>
        <v>0</v>
      </c>
      <c r="O24" s="690">
        <f>+landbouw!N8</f>
        <v>0</v>
      </c>
      <c r="P24" s="690">
        <f>+landbouw!O8</f>
        <v>0</v>
      </c>
      <c r="Q24" s="691">
        <f>+landbouw!P8</f>
        <v>0</v>
      </c>
      <c r="R24" s="693">
        <f>SUM(C24:Q24)</f>
        <v>1898.4303415018414</v>
      </c>
      <c r="S24" s="67"/>
    </row>
    <row r="25" spans="1:19" s="458" customFormat="1" ht="15" thickBot="1">
      <c r="A25" s="827" t="s">
        <v>872</v>
      </c>
      <c r="B25" s="1004"/>
      <c r="C25" s="1005">
        <f>IF(Onbekend_ele_kWh="---",0,Onbekend_ele_kWh)/1000+IF(REST_rest_ele_kWh="---",0,REST_rest_ele_kWh)/1000</f>
        <v>3803.2319323018801</v>
      </c>
      <c r="D25" s="1005"/>
      <c r="E25" s="1005">
        <f>IF(onbekend_gas_kWh="---",0,onbekend_gas_kWh)/1000+IF(REST_rest_gas_kWh="---",0,REST_rest_gas_kWh)/1000</f>
        <v>11110.4936916643</v>
      </c>
      <c r="F25" s="1005"/>
      <c r="G25" s="1005"/>
      <c r="H25" s="1005"/>
      <c r="I25" s="1005"/>
      <c r="J25" s="1005"/>
      <c r="K25" s="1005"/>
      <c r="L25" s="1005"/>
      <c r="M25" s="1005"/>
      <c r="N25" s="1005"/>
      <c r="O25" s="1005"/>
      <c r="P25" s="1005"/>
      <c r="Q25" s="1006"/>
      <c r="R25" s="693">
        <f>SUM(C25:Q25)</f>
        <v>14913.72562396618</v>
      </c>
      <c r="S25" s="67"/>
    </row>
    <row r="26" spans="1:19" s="458" customFormat="1" ht="15.75" thickBot="1">
      <c r="A26" s="698" t="s">
        <v>873</v>
      </c>
      <c r="B26" s="813"/>
      <c r="C26" s="808">
        <f>SUM(C24:C25)</f>
        <v>4192.5185149086055</v>
      </c>
      <c r="D26" s="808">
        <f t="shared" ref="D26:R26" si="2">SUM(D24:D25)</f>
        <v>0</v>
      </c>
      <c r="E26" s="808">
        <f t="shared" si="2"/>
        <v>11213.051429235795</v>
      </c>
      <c r="F26" s="808">
        <f t="shared" si="2"/>
        <v>4.9055124439290303</v>
      </c>
      <c r="G26" s="808">
        <f t="shared" si="2"/>
        <v>1343.1362321093302</v>
      </c>
      <c r="H26" s="808">
        <f t="shared" si="2"/>
        <v>0</v>
      </c>
      <c r="I26" s="808">
        <f t="shared" si="2"/>
        <v>0</v>
      </c>
      <c r="J26" s="808">
        <f t="shared" si="2"/>
        <v>0</v>
      </c>
      <c r="K26" s="808">
        <f t="shared" si="2"/>
        <v>58.544276770362131</v>
      </c>
      <c r="L26" s="808">
        <f t="shared" si="2"/>
        <v>0</v>
      </c>
      <c r="M26" s="808">
        <f t="shared" si="2"/>
        <v>0</v>
      </c>
      <c r="N26" s="808">
        <f t="shared" si="2"/>
        <v>0</v>
      </c>
      <c r="O26" s="808">
        <f t="shared" si="2"/>
        <v>0</v>
      </c>
      <c r="P26" s="808">
        <f t="shared" si="2"/>
        <v>0</v>
      </c>
      <c r="Q26" s="808">
        <f t="shared" si="2"/>
        <v>0</v>
      </c>
      <c r="R26" s="808">
        <f t="shared" si="2"/>
        <v>16812.15596546802</v>
      </c>
      <c r="S26" s="67"/>
    </row>
    <row r="27" spans="1:19" s="458" customFormat="1" ht="17.25" thickTop="1" thickBot="1">
      <c r="A27" s="699" t="s">
        <v>116</v>
      </c>
      <c r="B27" s="800"/>
      <c r="C27" s="700">
        <f ca="1">C22+C16+C26</f>
        <v>95740.865208511852</v>
      </c>
      <c r="D27" s="700">
        <f t="shared" ref="D27:R27" ca="1" si="3">D22+D16+D26</f>
        <v>0</v>
      </c>
      <c r="E27" s="700">
        <f t="shared" ca="1" si="3"/>
        <v>193141.92300639799</v>
      </c>
      <c r="F27" s="700">
        <f t="shared" si="3"/>
        <v>1939.0742987826829</v>
      </c>
      <c r="G27" s="700">
        <f t="shared" ca="1" si="3"/>
        <v>14470.226305492917</v>
      </c>
      <c r="H27" s="700">
        <f t="shared" si="3"/>
        <v>24196.197349279064</v>
      </c>
      <c r="I27" s="700">
        <f t="shared" si="3"/>
        <v>4258.8451264536343</v>
      </c>
      <c r="J27" s="700">
        <f t="shared" si="3"/>
        <v>0</v>
      </c>
      <c r="K27" s="700">
        <f t="shared" si="3"/>
        <v>59.076002864790844</v>
      </c>
      <c r="L27" s="700">
        <f t="shared" si="3"/>
        <v>0</v>
      </c>
      <c r="M27" s="700">
        <f t="shared" ca="1" si="3"/>
        <v>0</v>
      </c>
      <c r="N27" s="700">
        <f t="shared" si="3"/>
        <v>1286.0804323380098</v>
      </c>
      <c r="O27" s="700">
        <f t="shared" ca="1" si="3"/>
        <v>5645.0780258088171</v>
      </c>
      <c r="P27" s="700">
        <f t="shared" si="3"/>
        <v>96.926666666666662</v>
      </c>
      <c r="Q27" s="700">
        <f t="shared" si="3"/>
        <v>95.333333333333343</v>
      </c>
      <c r="R27" s="700">
        <f t="shared" ca="1" si="3"/>
        <v>340929.6257559298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10170.543752657926</v>
      </c>
      <c r="D40" s="690">
        <f ca="1">tertiair!C20</f>
        <v>0</v>
      </c>
      <c r="E40" s="690">
        <f ca="1">tertiair!D20</f>
        <v>13148.815623356351</v>
      </c>
      <c r="F40" s="690">
        <f>tertiair!E20</f>
        <v>255.12999460202821</v>
      </c>
      <c r="G40" s="690">
        <f ca="1">tertiair!F20</f>
        <v>2771.6475166159257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26346.136887232231</v>
      </c>
    </row>
    <row r="41" spans="1:18">
      <c r="A41" s="818" t="s">
        <v>225</v>
      </c>
      <c r="B41" s="825"/>
      <c r="C41" s="690">
        <f ca="1">huishoudens!B12</f>
        <v>8596.6123337470199</v>
      </c>
      <c r="D41" s="690">
        <f ca="1">huishoudens!C12</f>
        <v>0</v>
      </c>
      <c r="E41" s="690">
        <f>huishoudens!D12</f>
        <v>22962.267459506224</v>
      </c>
      <c r="F41" s="690">
        <f>huishoudens!E12</f>
        <v>0</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31558.879793253243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759.07547970584824</v>
      </c>
      <c r="D43" s="690">
        <f ca="1">industrie!C22</f>
        <v>0</v>
      </c>
      <c r="E43" s="690">
        <f>industrie!D22</f>
        <v>637.97672943945565</v>
      </c>
      <c r="F43" s="690">
        <f>industrie!E22</f>
        <v>164.03603618976376</v>
      </c>
      <c r="G43" s="690">
        <f>industrie!F22</f>
        <v>733.28553297749193</v>
      </c>
      <c r="H43" s="690">
        <f>industrie!G22</f>
        <v>0</v>
      </c>
      <c r="I43" s="690">
        <f>industrie!H22</f>
        <v>0</v>
      </c>
      <c r="J43" s="690">
        <f>industrie!I22</f>
        <v>0</v>
      </c>
      <c r="K43" s="690">
        <f>industrie!J22</f>
        <v>0.18823103742776368</v>
      </c>
      <c r="L43" s="690">
        <f>industrie!K22</f>
        <v>0</v>
      </c>
      <c r="M43" s="690">
        <f>industrie!L22</f>
        <v>0</v>
      </c>
      <c r="N43" s="690">
        <f>industrie!M22</f>
        <v>0</v>
      </c>
      <c r="O43" s="690">
        <f>industrie!N22</f>
        <v>0</v>
      </c>
      <c r="P43" s="690">
        <f>industrie!O22</f>
        <v>0</v>
      </c>
      <c r="Q43" s="767">
        <f>industrie!P22</f>
        <v>0</v>
      </c>
      <c r="R43" s="845">
        <f t="shared" ca="1" si="4"/>
        <v>2294.5620093499874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19526.231566110793</v>
      </c>
      <c r="D46" s="725">
        <f t="shared" ref="D46:Q46" ca="1" si="5">SUM(D39:D45)</f>
        <v>0</v>
      </c>
      <c r="E46" s="725">
        <f t="shared" ca="1" si="5"/>
        <v>36749.059812302032</v>
      </c>
      <c r="F46" s="725">
        <f t="shared" si="5"/>
        <v>419.16603079179197</v>
      </c>
      <c r="G46" s="725">
        <f t="shared" ca="1" si="5"/>
        <v>3504.9330495934178</v>
      </c>
      <c r="H46" s="725">
        <f t="shared" si="5"/>
        <v>0</v>
      </c>
      <c r="I46" s="725">
        <f t="shared" si="5"/>
        <v>0</v>
      </c>
      <c r="J46" s="725">
        <f t="shared" si="5"/>
        <v>0</v>
      </c>
      <c r="K46" s="725">
        <f t="shared" si="5"/>
        <v>0.18823103742776368</v>
      </c>
      <c r="L46" s="725">
        <f t="shared" si="5"/>
        <v>0</v>
      </c>
      <c r="M46" s="725">
        <f t="shared" ca="1" si="5"/>
        <v>0</v>
      </c>
      <c r="N46" s="725">
        <f t="shared" si="5"/>
        <v>0</v>
      </c>
      <c r="O46" s="725">
        <f t="shared" ca="1" si="5"/>
        <v>0</v>
      </c>
      <c r="P46" s="725">
        <f t="shared" si="5"/>
        <v>0</v>
      </c>
      <c r="Q46" s="725">
        <f t="shared" si="5"/>
        <v>0</v>
      </c>
      <c r="R46" s="725">
        <f ca="1">SUM(R39:R45)</f>
        <v>60199.578689835464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171.05982109258113</v>
      </c>
      <c r="D49" s="690">
        <f ca="1">transport!C58</f>
        <v>0</v>
      </c>
      <c r="E49" s="690">
        <f>transport!D58</f>
        <v>0</v>
      </c>
      <c r="F49" s="690">
        <f>transport!E58</f>
        <v>0</v>
      </c>
      <c r="G49" s="690">
        <f>transport!F58</f>
        <v>0</v>
      </c>
      <c r="H49" s="690">
        <f>transport!G58</f>
        <v>90.213881870905681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261.27370296348681</v>
      </c>
    </row>
    <row r="50" spans="1:18">
      <c r="A50" s="821" t="s">
        <v>307</v>
      </c>
      <c r="B50" s="831"/>
      <c r="C50" s="696">
        <f ca="1">transport!B18</f>
        <v>0.39411204029122615</v>
      </c>
      <c r="D50" s="696">
        <f>transport!C18</f>
        <v>0</v>
      </c>
      <c r="E50" s="696">
        <f>transport!D18</f>
        <v>0.5722462847431089</v>
      </c>
      <c r="F50" s="696">
        <f>transport!E18</f>
        <v>19.890283707105173</v>
      </c>
      <c r="G50" s="696">
        <f>transport!F18</f>
        <v>0</v>
      </c>
      <c r="H50" s="696">
        <f>transport!G18</f>
        <v>6370.1708103866049</v>
      </c>
      <c r="I50" s="696">
        <f>transport!H18</f>
        <v>1060.4524364869549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7451.4798889056992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171.45393313287235</v>
      </c>
      <c r="D52" s="725">
        <f t="shared" ref="D52:Q52" ca="1" si="6">SUM(D48:D51)</f>
        <v>0</v>
      </c>
      <c r="E52" s="725">
        <f t="shared" si="6"/>
        <v>0.5722462847431089</v>
      </c>
      <c r="F52" s="725">
        <f t="shared" si="6"/>
        <v>19.890283707105173</v>
      </c>
      <c r="G52" s="725">
        <f t="shared" si="6"/>
        <v>0</v>
      </c>
      <c r="H52" s="725">
        <f t="shared" si="6"/>
        <v>6460.3846922575103</v>
      </c>
      <c r="I52" s="725">
        <f t="shared" si="6"/>
        <v>1060.4524364869549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7712.7535918691865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83.759510140868571</v>
      </c>
      <c r="D54" s="696">
        <f ca="1">+landbouw!C12</f>
        <v>0</v>
      </c>
      <c r="E54" s="696">
        <f>+landbouw!D12</f>
        <v>20.716662989441982</v>
      </c>
      <c r="F54" s="696">
        <f>+landbouw!E12</f>
        <v>1.11355132477189</v>
      </c>
      <c r="G54" s="696">
        <f>+landbouw!F12</f>
        <v>358.61737397319121</v>
      </c>
      <c r="H54" s="696">
        <f>+landbouw!G12</f>
        <v>0</v>
      </c>
      <c r="I54" s="696">
        <f>+landbouw!H12</f>
        <v>0</v>
      </c>
      <c r="J54" s="696">
        <f>+landbouw!I12</f>
        <v>0</v>
      </c>
      <c r="K54" s="696">
        <f>+landbouw!J12</f>
        <v>20.724673976708193</v>
      </c>
      <c r="L54" s="696">
        <f>+landbouw!K12</f>
        <v>0</v>
      </c>
      <c r="M54" s="696">
        <f>+landbouw!L12</f>
        <v>0</v>
      </c>
      <c r="N54" s="696">
        <f>+landbouw!M12</f>
        <v>0</v>
      </c>
      <c r="O54" s="696">
        <f>+landbouw!N12</f>
        <v>0</v>
      </c>
      <c r="P54" s="696">
        <f>+landbouw!O12</f>
        <v>0</v>
      </c>
      <c r="Q54" s="697">
        <f>+landbouw!P12</f>
        <v>0</v>
      </c>
      <c r="R54" s="724">
        <f ca="1">SUM(C54:Q54)</f>
        <v>484.93177240498181</v>
      </c>
    </row>
    <row r="55" spans="1:18" ht="15" thickBot="1">
      <c r="A55" s="821" t="s">
        <v>872</v>
      </c>
      <c r="B55" s="831"/>
      <c r="C55" s="696">
        <f ca="1">C25*'EF ele_warmte'!B12</f>
        <v>818.30933259658457</v>
      </c>
      <c r="D55" s="696"/>
      <c r="E55" s="696">
        <f>E25*EF_CO2_aardgas</f>
        <v>2244.3197257161887</v>
      </c>
      <c r="F55" s="696"/>
      <c r="G55" s="696"/>
      <c r="H55" s="696"/>
      <c r="I55" s="696"/>
      <c r="J55" s="696"/>
      <c r="K55" s="696"/>
      <c r="L55" s="696"/>
      <c r="M55" s="696"/>
      <c r="N55" s="696"/>
      <c r="O55" s="696"/>
      <c r="P55" s="696"/>
      <c r="Q55" s="697"/>
      <c r="R55" s="724">
        <f ca="1">SUM(C55:Q55)</f>
        <v>3062.6290583127734</v>
      </c>
    </row>
    <row r="56" spans="1:18" ht="15.75" thickBot="1">
      <c r="A56" s="819" t="s">
        <v>873</v>
      </c>
      <c r="B56" s="832"/>
      <c r="C56" s="725">
        <f ca="1">SUM(C54:C55)</f>
        <v>902.06884273745311</v>
      </c>
      <c r="D56" s="725">
        <f t="shared" ref="D56:Q56" ca="1" si="7">SUM(D54:D55)</f>
        <v>0</v>
      </c>
      <c r="E56" s="725">
        <f t="shared" si="7"/>
        <v>2265.0363887056305</v>
      </c>
      <c r="F56" s="725">
        <f t="shared" si="7"/>
        <v>1.11355132477189</v>
      </c>
      <c r="G56" s="725">
        <f t="shared" si="7"/>
        <v>358.61737397319121</v>
      </c>
      <c r="H56" s="725">
        <f t="shared" si="7"/>
        <v>0</v>
      </c>
      <c r="I56" s="725">
        <f t="shared" si="7"/>
        <v>0</v>
      </c>
      <c r="J56" s="725">
        <f t="shared" si="7"/>
        <v>0</v>
      </c>
      <c r="K56" s="725">
        <f t="shared" si="7"/>
        <v>20.724673976708193</v>
      </c>
      <c r="L56" s="725">
        <f t="shared" si="7"/>
        <v>0</v>
      </c>
      <c r="M56" s="725">
        <f t="shared" si="7"/>
        <v>0</v>
      </c>
      <c r="N56" s="725">
        <f t="shared" si="7"/>
        <v>0</v>
      </c>
      <c r="O56" s="725">
        <f t="shared" si="7"/>
        <v>0</v>
      </c>
      <c r="P56" s="725">
        <f t="shared" si="7"/>
        <v>0</v>
      </c>
      <c r="Q56" s="726">
        <f t="shared" si="7"/>
        <v>0</v>
      </c>
      <c r="R56" s="727">
        <f ca="1">SUM(R54:R55)</f>
        <v>3547.5608307177554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20599.754341981115</v>
      </c>
      <c r="D61" s="733">
        <f t="shared" ref="D61:Q61" ca="1" si="8">D46+D52+D56</f>
        <v>0</v>
      </c>
      <c r="E61" s="733">
        <f t="shared" ca="1" si="8"/>
        <v>39014.668447292403</v>
      </c>
      <c r="F61" s="733">
        <f t="shared" si="8"/>
        <v>440.16986582366906</v>
      </c>
      <c r="G61" s="733">
        <f t="shared" ca="1" si="8"/>
        <v>3863.550423566609</v>
      </c>
      <c r="H61" s="733">
        <f t="shared" si="8"/>
        <v>6460.3846922575103</v>
      </c>
      <c r="I61" s="733">
        <f t="shared" si="8"/>
        <v>1060.4524364869549</v>
      </c>
      <c r="J61" s="733">
        <f t="shared" si="8"/>
        <v>0</v>
      </c>
      <c r="K61" s="733">
        <f t="shared" si="8"/>
        <v>20.912905014135955</v>
      </c>
      <c r="L61" s="733">
        <f t="shared" si="8"/>
        <v>0</v>
      </c>
      <c r="M61" s="733">
        <f t="shared" ca="1" si="8"/>
        <v>0</v>
      </c>
      <c r="N61" s="733">
        <f t="shared" si="8"/>
        <v>0</v>
      </c>
      <c r="O61" s="733">
        <f t="shared" ca="1" si="8"/>
        <v>0</v>
      </c>
      <c r="P61" s="733">
        <f t="shared" si="8"/>
        <v>0</v>
      </c>
      <c r="Q61" s="733">
        <f t="shared" si="8"/>
        <v>0</v>
      </c>
      <c r="R61" s="733">
        <f ca="1">R46+R52+R56</f>
        <v>71459.893112422404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0.21516156447006593</v>
      </c>
      <c r="D63" s="776">
        <f t="shared" ca="1" si="9"/>
        <v>0</v>
      </c>
      <c r="E63" s="1011">
        <f t="shared" ca="1" si="9"/>
        <v>0.20200000000000004</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2529.3071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2529.3071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2529.3071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2529.3071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39954.219309197346</v>
      </c>
      <c r="C4" s="462">
        <f>huishoudens!C8</f>
        <v>0</v>
      </c>
      <c r="D4" s="462">
        <f>huishoudens!D8</f>
        <v>113674.59138369416</v>
      </c>
      <c r="E4" s="462">
        <f>huishoudens!E8</f>
        <v>0</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0</v>
      </c>
      <c r="O4" s="462">
        <f>huishoudens!O8</f>
        <v>93.8</v>
      </c>
      <c r="P4" s="463">
        <f>huishoudens!P8</f>
        <v>57.2</v>
      </c>
      <c r="Q4" s="464">
        <f>SUM(B4:P4)</f>
        <v>153779.81069289151</v>
      </c>
    </row>
    <row r="5" spans="1:17">
      <c r="A5" s="461" t="s">
        <v>156</v>
      </c>
      <c r="B5" s="462">
        <f ca="1">tertiair!B16</f>
        <v>45473.541420946422</v>
      </c>
      <c r="C5" s="462">
        <f ca="1">tertiair!C16</f>
        <v>0</v>
      </c>
      <c r="D5" s="462">
        <f ca="1">tertiair!D16</f>
        <v>65093.146650278963</v>
      </c>
      <c r="E5" s="462">
        <f>tertiair!E16</f>
        <v>1123.9206810662035</v>
      </c>
      <c r="F5" s="462">
        <f ca="1">tertiair!F16</f>
        <v>10380.702309422943</v>
      </c>
      <c r="G5" s="462">
        <f>tertiair!G16</f>
        <v>0</v>
      </c>
      <c r="H5" s="462">
        <f>tertiair!H16</f>
        <v>0</v>
      </c>
      <c r="I5" s="462">
        <f>tertiair!I16</f>
        <v>0</v>
      </c>
      <c r="J5" s="462">
        <f>tertiair!J16</f>
        <v>0</v>
      </c>
      <c r="K5" s="462">
        <f>tertiair!K16</f>
        <v>0</v>
      </c>
      <c r="L5" s="462">
        <f ca="1">tertiair!L16</f>
        <v>0</v>
      </c>
      <c r="M5" s="462">
        <f>tertiair!M16</f>
        <v>0</v>
      </c>
      <c r="N5" s="462">
        <f ca="1">tertiair!N16</f>
        <v>4494.7406956918103</v>
      </c>
      <c r="O5" s="462">
        <f>tertiair!O16</f>
        <v>3.1266666666666669</v>
      </c>
      <c r="P5" s="463">
        <f>tertiair!P16</f>
        <v>38.133333333333333</v>
      </c>
      <c r="Q5" s="461">
        <f t="shared" ref="Q5:Q14" ca="1" si="0">SUM(B5:P5)</f>
        <v>126607.31175740634</v>
      </c>
    </row>
    <row r="6" spans="1:17">
      <c r="A6" s="461" t="s">
        <v>194</v>
      </c>
      <c r="B6" s="462">
        <f>'openbare verlichting'!B8</f>
        <v>1795.7921038750501</v>
      </c>
      <c r="C6" s="462"/>
      <c r="D6" s="462"/>
      <c r="E6" s="462"/>
      <c r="F6" s="462"/>
      <c r="G6" s="462"/>
      <c r="H6" s="462"/>
      <c r="I6" s="462"/>
      <c r="J6" s="462"/>
      <c r="K6" s="462"/>
      <c r="L6" s="462"/>
      <c r="M6" s="462"/>
      <c r="N6" s="462"/>
      <c r="O6" s="462"/>
      <c r="P6" s="463"/>
      <c r="Q6" s="461">
        <f t="shared" si="0"/>
        <v>1795.7921038750501</v>
      </c>
    </row>
    <row r="7" spans="1:17">
      <c r="A7" s="461" t="s">
        <v>112</v>
      </c>
      <c r="B7" s="462">
        <f>landbouw!B8</f>
        <v>389.28658260672518</v>
      </c>
      <c r="C7" s="462">
        <f>landbouw!C8</f>
        <v>0</v>
      </c>
      <c r="D7" s="462">
        <f>landbouw!D8</f>
        <v>102.55773757149495</v>
      </c>
      <c r="E7" s="462">
        <f>landbouw!E8</f>
        <v>4.9055124439290303</v>
      </c>
      <c r="F7" s="462">
        <f>landbouw!F8</f>
        <v>1343.1362321093302</v>
      </c>
      <c r="G7" s="462">
        <f>landbouw!G8</f>
        <v>0</v>
      </c>
      <c r="H7" s="462">
        <f>landbouw!H8</f>
        <v>0</v>
      </c>
      <c r="I7" s="462">
        <f>landbouw!I8</f>
        <v>0</v>
      </c>
      <c r="J7" s="462">
        <f>landbouw!J8</f>
        <v>58.544276770362131</v>
      </c>
      <c r="K7" s="462">
        <f>landbouw!K8</f>
        <v>0</v>
      </c>
      <c r="L7" s="462">
        <f>landbouw!L8</f>
        <v>0</v>
      </c>
      <c r="M7" s="462">
        <f>landbouw!M8</f>
        <v>0</v>
      </c>
      <c r="N7" s="462">
        <f>landbouw!N8</f>
        <v>0</v>
      </c>
      <c r="O7" s="462">
        <f>landbouw!O8</f>
        <v>0</v>
      </c>
      <c r="P7" s="463">
        <f>landbouw!P8</f>
        <v>0</v>
      </c>
      <c r="Q7" s="461">
        <f t="shared" si="0"/>
        <v>1898.4303415018414</v>
      </c>
    </row>
    <row r="8" spans="1:17">
      <c r="A8" s="461" t="s">
        <v>657</v>
      </c>
      <c r="B8" s="462">
        <f>industrie!B18</f>
        <v>3527.9325170153866</v>
      </c>
      <c r="C8" s="462">
        <f>industrie!C18</f>
        <v>0</v>
      </c>
      <c r="D8" s="462">
        <f>industrie!D18</f>
        <v>3158.300640789384</v>
      </c>
      <c r="E8" s="462">
        <f>industrie!E18</f>
        <v>722.62571008706504</v>
      </c>
      <c r="F8" s="462">
        <f>industrie!F18</f>
        <v>2746.387763960644</v>
      </c>
      <c r="G8" s="462">
        <f>industrie!G18</f>
        <v>0</v>
      </c>
      <c r="H8" s="462">
        <f>industrie!H18</f>
        <v>0</v>
      </c>
      <c r="I8" s="462">
        <f>industrie!I18</f>
        <v>0</v>
      </c>
      <c r="J8" s="462">
        <f>industrie!J18</f>
        <v>0.53172609442871099</v>
      </c>
      <c r="K8" s="462">
        <f>industrie!K18</f>
        <v>0</v>
      </c>
      <c r="L8" s="462">
        <f>industrie!L18</f>
        <v>0</v>
      </c>
      <c r="M8" s="462">
        <f>industrie!M18</f>
        <v>0</v>
      </c>
      <c r="N8" s="462">
        <f>industrie!N18</f>
        <v>1150.3373301170066</v>
      </c>
      <c r="O8" s="462">
        <f>industrie!O18</f>
        <v>0</v>
      </c>
      <c r="P8" s="463">
        <f>industrie!P18</f>
        <v>0</v>
      </c>
      <c r="Q8" s="461">
        <f t="shared" si="0"/>
        <v>11306.115688063916</v>
      </c>
    </row>
    <row r="9" spans="1:17" s="467" customFormat="1">
      <c r="A9" s="465" t="s">
        <v>574</v>
      </c>
      <c r="B9" s="466">
        <f>transport!B14</f>
        <v>1.831702800925006</v>
      </c>
      <c r="C9" s="466">
        <f>transport!C14</f>
        <v>0</v>
      </c>
      <c r="D9" s="466">
        <f>transport!D14</f>
        <v>2.8329023997183609</v>
      </c>
      <c r="E9" s="466">
        <f>transport!E14</f>
        <v>87.622395185485345</v>
      </c>
      <c r="F9" s="466">
        <f>transport!F14</f>
        <v>0</v>
      </c>
      <c r="G9" s="466">
        <f>transport!G14</f>
        <v>23858.317641897396</v>
      </c>
      <c r="H9" s="466">
        <f>transport!H14</f>
        <v>4258.8451264536343</v>
      </c>
      <c r="I9" s="466">
        <f>transport!I14</f>
        <v>0</v>
      </c>
      <c r="J9" s="466">
        <f>transport!J14</f>
        <v>0</v>
      </c>
      <c r="K9" s="466">
        <f>transport!K14</f>
        <v>0</v>
      </c>
      <c r="L9" s="466">
        <f>transport!L14</f>
        <v>0</v>
      </c>
      <c r="M9" s="466">
        <f>transport!M14</f>
        <v>1271.0540953252369</v>
      </c>
      <c r="N9" s="466">
        <f>transport!N14</f>
        <v>0</v>
      </c>
      <c r="O9" s="466">
        <f>transport!O14</f>
        <v>0</v>
      </c>
      <c r="P9" s="466">
        <f>transport!P14</f>
        <v>0</v>
      </c>
      <c r="Q9" s="465">
        <f>SUM(B9:P9)</f>
        <v>29480.503864062397</v>
      </c>
    </row>
    <row r="10" spans="1:17">
      <c r="A10" s="461" t="s">
        <v>564</v>
      </c>
      <c r="B10" s="462">
        <f>transport!B54</f>
        <v>795.02963976811748</v>
      </c>
      <c r="C10" s="462">
        <f>transport!C54</f>
        <v>0</v>
      </c>
      <c r="D10" s="462">
        <f>transport!D54</f>
        <v>0</v>
      </c>
      <c r="E10" s="462">
        <f>transport!E54</f>
        <v>0</v>
      </c>
      <c r="F10" s="462">
        <f>transport!F54</f>
        <v>0</v>
      </c>
      <c r="G10" s="462">
        <f>transport!G54</f>
        <v>337.87970738166922</v>
      </c>
      <c r="H10" s="462">
        <f>transport!H54</f>
        <v>0</v>
      </c>
      <c r="I10" s="462">
        <f>transport!I54</f>
        <v>0</v>
      </c>
      <c r="J10" s="462">
        <f>transport!J54</f>
        <v>0</v>
      </c>
      <c r="K10" s="462">
        <f>transport!K54</f>
        <v>0</v>
      </c>
      <c r="L10" s="462">
        <f>transport!L54</f>
        <v>0</v>
      </c>
      <c r="M10" s="462">
        <f>transport!M54</f>
        <v>15.026337012773039</v>
      </c>
      <c r="N10" s="462">
        <f>transport!N54</f>
        <v>0</v>
      </c>
      <c r="O10" s="462">
        <f>transport!O54</f>
        <v>0</v>
      </c>
      <c r="P10" s="463">
        <f>transport!P54</f>
        <v>0</v>
      </c>
      <c r="Q10" s="461">
        <f t="shared" si="0"/>
        <v>1147.9356841625597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3803.2319323018801</v>
      </c>
      <c r="C14" s="469"/>
      <c r="D14" s="469">
        <f>'SEAP template'!E25</f>
        <v>11110.4936916643</v>
      </c>
      <c r="E14" s="469"/>
      <c r="F14" s="469"/>
      <c r="G14" s="469"/>
      <c r="H14" s="469"/>
      <c r="I14" s="469"/>
      <c r="J14" s="469"/>
      <c r="K14" s="469"/>
      <c r="L14" s="469"/>
      <c r="M14" s="469"/>
      <c r="N14" s="469"/>
      <c r="O14" s="469"/>
      <c r="P14" s="470"/>
      <c r="Q14" s="461">
        <f t="shared" si="0"/>
        <v>14913.72562396618</v>
      </c>
    </row>
    <row r="15" spans="1:17" s="474" customFormat="1">
      <c r="A15" s="471" t="s">
        <v>568</v>
      </c>
      <c r="B15" s="472">
        <f ca="1">SUM(B4:B14)</f>
        <v>95740.865208511852</v>
      </c>
      <c r="C15" s="472">
        <f t="shared" ref="C15:Q15" ca="1" si="1">SUM(C4:C14)</f>
        <v>0</v>
      </c>
      <c r="D15" s="472">
        <f t="shared" ca="1" si="1"/>
        <v>193141.92300639802</v>
      </c>
      <c r="E15" s="472">
        <f t="shared" si="1"/>
        <v>1939.0742987826829</v>
      </c>
      <c r="F15" s="472">
        <f t="shared" ca="1" si="1"/>
        <v>14470.226305492917</v>
      </c>
      <c r="G15" s="472">
        <f t="shared" si="1"/>
        <v>24196.197349279064</v>
      </c>
      <c r="H15" s="472">
        <f t="shared" si="1"/>
        <v>4258.8451264536343</v>
      </c>
      <c r="I15" s="472">
        <f t="shared" si="1"/>
        <v>0</v>
      </c>
      <c r="J15" s="472">
        <f t="shared" si="1"/>
        <v>59.076002864790844</v>
      </c>
      <c r="K15" s="472">
        <f t="shared" si="1"/>
        <v>0</v>
      </c>
      <c r="L15" s="472">
        <f t="shared" ca="1" si="1"/>
        <v>0</v>
      </c>
      <c r="M15" s="472">
        <f t="shared" si="1"/>
        <v>1286.0804323380098</v>
      </c>
      <c r="N15" s="472">
        <f t="shared" ca="1" si="1"/>
        <v>5645.0780258088171</v>
      </c>
      <c r="O15" s="472">
        <f t="shared" si="1"/>
        <v>96.926666666666662</v>
      </c>
      <c r="P15" s="472">
        <f t="shared" si="1"/>
        <v>95.333333333333343</v>
      </c>
      <c r="Q15" s="472">
        <f t="shared" ca="1" si="1"/>
        <v>340929.62575592974</v>
      </c>
    </row>
    <row r="17" spans="1:17">
      <c r="A17" s="475" t="s">
        <v>569</v>
      </c>
      <c r="B17" s="781">
        <f ca="1">huishoudens!B10</f>
        <v>0.21516156447006599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8596.6123337470199</v>
      </c>
      <c r="C22" s="462">
        <f t="shared" ref="C22:C32" ca="1" si="3">C4*$C$17</f>
        <v>0</v>
      </c>
      <c r="D22" s="462">
        <f t="shared" ref="D22:D32" si="4">D4*$D$17</f>
        <v>22962.267459506224</v>
      </c>
      <c r="E22" s="462">
        <f t="shared" ref="E22:E32" si="5">E4*$E$17</f>
        <v>0</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31558.879793253243</v>
      </c>
    </row>
    <row r="23" spans="1:17">
      <c r="A23" s="461" t="s">
        <v>156</v>
      </c>
      <c r="B23" s="462">
        <f t="shared" ca="1" si="2"/>
        <v>9784.1583141251795</v>
      </c>
      <c r="C23" s="462">
        <f t="shared" ca="1" si="3"/>
        <v>0</v>
      </c>
      <c r="D23" s="462">
        <f t="shared" ca="1" si="4"/>
        <v>13148.815623356351</v>
      </c>
      <c r="E23" s="462">
        <f t="shared" si="5"/>
        <v>255.12999460202821</v>
      </c>
      <c r="F23" s="462">
        <f t="shared" ca="1" si="6"/>
        <v>2771.6475166159257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25959.751448699488</v>
      </c>
    </row>
    <row r="24" spans="1:17">
      <c r="A24" s="461" t="s">
        <v>194</v>
      </c>
      <c r="B24" s="462">
        <f t="shared" ca="1" si="2"/>
        <v>386.385438532747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386.385438532747</v>
      </c>
    </row>
    <row r="25" spans="1:17">
      <c r="A25" s="461" t="s">
        <v>112</v>
      </c>
      <c r="B25" s="462">
        <f t="shared" ca="1" si="2"/>
        <v>83.759510140868571</v>
      </c>
      <c r="C25" s="462">
        <f t="shared" ca="1" si="3"/>
        <v>0</v>
      </c>
      <c r="D25" s="462">
        <f t="shared" si="4"/>
        <v>20.716662989441982</v>
      </c>
      <c r="E25" s="462">
        <f t="shared" si="5"/>
        <v>1.11355132477189</v>
      </c>
      <c r="F25" s="462">
        <f t="shared" si="6"/>
        <v>358.61737397319121</v>
      </c>
      <c r="G25" s="462">
        <f t="shared" si="7"/>
        <v>0</v>
      </c>
      <c r="H25" s="462">
        <f t="shared" si="8"/>
        <v>0</v>
      </c>
      <c r="I25" s="462">
        <f t="shared" si="9"/>
        <v>0</v>
      </c>
      <c r="J25" s="462">
        <f t="shared" si="10"/>
        <v>20.724673976708193</v>
      </c>
      <c r="K25" s="462">
        <f t="shared" si="11"/>
        <v>0</v>
      </c>
      <c r="L25" s="462">
        <f t="shared" si="12"/>
        <v>0</v>
      </c>
      <c r="M25" s="462">
        <f t="shared" si="13"/>
        <v>0</v>
      </c>
      <c r="N25" s="462">
        <f t="shared" si="14"/>
        <v>0</v>
      </c>
      <c r="O25" s="462">
        <f t="shared" si="15"/>
        <v>0</v>
      </c>
      <c r="P25" s="463">
        <f t="shared" si="16"/>
        <v>0</v>
      </c>
      <c r="Q25" s="461">
        <f t="shared" ca="1" si="17"/>
        <v>484.93177240498181</v>
      </c>
    </row>
    <row r="26" spans="1:17">
      <c r="A26" s="461" t="s">
        <v>657</v>
      </c>
      <c r="B26" s="462">
        <f t="shared" ca="1" si="2"/>
        <v>759.07547970584824</v>
      </c>
      <c r="C26" s="462">
        <f t="shared" ca="1" si="3"/>
        <v>0</v>
      </c>
      <c r="D26" s="462">
        <f t="shared" si="4"/>
        <v>637.97672943945565</v>
      </c>
      <c r="E26" s="462">
        <f t="shared" si="5"/>
        <v>164.03603618976376</v>
      </c>
      <c r="F26" s="462">
        <f t="shared" si="6"/>
        <v>733.28553297749193</v>
      </c>
      <c r="G26" s="462">
        <f t="shared" si="7"/>
        <v>0</v>
      </c>
      <c r="H26" s="462">
        <f t="shared" si="8"/>
        <v>0</v>
      </c>
      <c r="I26" s="462">
        <f t="shared" si="9"/>
        <v>0</v>
      </c>
      <c r="J26" s="462">
        <f t="shared" si="10"/>
        <v>0.18823103742776368</v>
      </c>
      <c r="K26" s="462">
        <f t="shared" si="11"/>
        <v>0</v>
      </c>
      <c r="L26" s="462">
        <f t="shared" si="12"/>
        <v>0</v>
      </c>
      <c r="M26" s="462">
        <f t="shared" si="13"/>
        <v>0</v>
      </c>
      <c r="N26" s="462">
        <f t="shared" si="14"/>
        <v>0</v>
      </c>
      <c r="O26" s="462">
        <f t="shared" si="15"/>
        <v>0</v>
      </c>
      <c r="P26" s="463">
        <f t="shared" si="16"/>
        <v>0</v>
      </c>
      <c r="Q26" s="461">
        <f t="shared" ca="1" si="17"/>
        <v>2294.5620093499874</v>
      </c>
    </row>
    <row r="27" spans="1:17" s="467" customFormat="1">
      <c r="A27" s="465" t="s">
        <v>574</v>
      </c>
      <c r="B27" s="775">
        <f t="shared" ca="1" si="2"/>
        <v>0.39411204029122615</v>
      </c>
      <c r="C27" s="466">
        <f t="shared" ca="1" si="3"/>
        <v>0</v>
      </c>
      <c r="D27" s="466">
        <f t="shared" si="4"/>
        <v>0.5722462847431089</v>
      </c>
      <c r="E27" s="466">
        <f t="shared" si="5"/>
        <v>19.890283707105173</v>
      </c>
      <c r="F27" s="466">
        <f t="shared" si="6"/>
        <v>0</v>
      </c>
      <c r="G27" s="466">
        <f t="shared" si="7"/>
        <v>6370.1708103866049</v>
      </c>
      <c r="H27" s="466">
        <f t="shared" si="8"/>
        <v>1060.4524364869549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7451.4798889056992</v>
      </c>
    </row>
    <row r="28" spans="1:17">
      <c r="A28" s="461" t="s">
        <v>564</v>
      </c>
      <c r="B28" s="462">
        <f t="shared" ca="1" si="2"/>
        <v>171.05982109258113</v>
      </c>
      <c r="C28" s="462">
        <f t="shared" ca="1" si="3"/>
        <v>0</v>
      </c>
      <c r="D28" s="462">
        <f t="shared" si="4"/>
        <v>0</v>
      </c>
      <c r="E28" s="462">
        <f t="shared" si="5"/>
        <v>0</v>
      </c>
      <c r="F28" s="462">
        <f t="shared" si="6"/>
        <v>0</v>
      </c>
      <c r="G28" s="462">
        <f t="shared" si="7"/>
        <v>90.213881870905681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261.27370296348681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818.30933259658457</v>
      </c>
      <c r="C32" s="462">
        <f t="shared" ca="1" si="3"/>
        <v>0</v>
      </c>
      <c r="D32" s="462">
        <f t="shared" si="4"/>
        <v>2244.3197257161887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3062.6290583127734</v>
      </c>
    </row>
    <row r="33" spans="1:17" s="474" customFormat="1">
      <c r="A33" s="471" t="s">
        <v>568</v>
      </c>
      <c r="B33" s="472">
        <f ca="1">SUM(B22:B32)</f>
        <v>20599.754341981123</v>
      </c>
      <c r="C33" s="472">
        <f t="shared" ref="C33:Q33" ca="1" si="18">SUM(C22:C32)</f>
        <v>0</v>
      </c>
      <c r="D33" s="472">
        <f t="shared" ca="1" si="18"/>
        <v>39014.668447292403</v>
      </c>
      <c r="E33" s="472">
        <f t="shared" si="18"/>
        <v>440.16986582366906</v>
      </c>
      <c r="F33" s="472">
        <f t="shared" ca="1" si="18"/>
        <v>3863.550423566609</v>
      </c>
      <c r="G33" s="472">
        <f t="shared" si="18"/>
        <v>6460.3846922575103</v>
      </c>
      <c r="H33" s="472">
        <f t="shared" si="18"/>
        <v>1060.4524364869549</v>
      </c>
      <c r="I33" s="472">
        <f t="shared" si="18"/>
        <v>0</v>
      </c>
      <c r="J33" s="472">
        <f t="shared" si="18"/>
        <v>20.912905014135955</v>
      </c>
      <c r="K33" s="472">
        <f t="shared" si="18"/>
        <v>0</v>
      </c>
      <c r="L33" s="472">
        <f t="shared" ca="1" si="18"/>
        <v>0</v>
      </c>
      <c r="M33" s="472">
        <f t="shared" si="18"/>
        <v>0</v>
      </c>
      <c r="N33" s="472">
        <f t="shared" ca="1" si="18"/>
        <v>0</v>
      </c>
      <c r="O33" s="472">
        <f t="shared" si="18"/>
        <v>0</v>
      </c>
      <c r="P33" s="472">
        <f t="shared" si="18"/>
        <v>0</v>
      </c>
      <c r="Q33" s="472">
        <f t="shared" ca="1" si="18"/>
        <v>71459.893112422418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2529.3071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2529.3071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0.21516156447006599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0.21516156447006599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2019-08-12T08:02:34Z</dcterms:modified>
</cp:coreProperties>
</file>