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<sst xmlns="http://schemas.openxmlformats.org/spreadsheetml/2006/main" count="2441" uniqueCount="920">
  <si>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</si>
  <si>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</si>
  <si>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</si>
  <si>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</si>
  <si>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</si>
  <si>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</si>
  <si>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</si>
  <si>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</si>
  <si>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</si>
  <si>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</si>
  <si>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</si>
  <si>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</si>
  <si>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</si>
  <si>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</si>
  <si>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</si>
  <si>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</si>
  <si>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</si>
  <si>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</si>
  <si>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</si>
  <si>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</si>
  <si>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</si>
  <si>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</si>
  <si>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</si>
  <si>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</si>
  <si>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</si>
  <si>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</si>
  <si>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</si>
  <si>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</si>
  <si>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</si>
  <si>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</si>
  <si>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</si>
  <si>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</si>
  <si>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</si>
  <si>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</si>
  <si>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</si>
  <si>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</si>
  <si>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</si>
  <si>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</si>
  <si>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</si>
  <si>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</si>
  <si>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</si>
  <si>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</si>
  <si>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</si>
  <si>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</si>
  <si>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</si>
  <si>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</si>
  <si>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</si>
  <si>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</si>
  <si>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</si>
  <si>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</si>
  <si>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</si>
  <si>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</si>
  <si>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</si>
  <si>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</si>
  <si>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</si>
  <si>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</si>
  <si>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</si>
  <si>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</si>
  <si>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</si>
  <si>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</si>
  <si>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</si>
  <si>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</si>
  <si>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</si>
  <si>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</si>
  <si>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</si>
  <si>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</si>
  <si>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</si>
  <si>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</si>
  <si>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</si>
  <si>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</si>
  <si>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</si>
  <si>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</si>
  <si>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</si>
  <si>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</si>
  <si>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</si>
  <si>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</si>
  <si>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</si>
  <si>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</si>
  <si>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</si>
  <si>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</si>
  <si>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</si>
  <si>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</si>
  <si>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</si>
  <si>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</si>
  <si>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</si>
  <si>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</si>
  <si>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</si>
  <si>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</si>
  <si>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</si>
  <si>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</si>
  <si>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</si>
  <si>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</si>
  <si>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</si>
  <si>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</si>
  <si>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</si>
  <si>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</si>
  <si>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</si>
  <si>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</si>
  <si>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</si>
  <si>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</si>
  <si>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</si>
  <si>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</si>
  <si>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</si>
  <si>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</si>
  <si>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</si>
  <si>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</si>
  <si>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</si>
  <si>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</si>
  <si>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</si>
  <si>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</si>
  <si>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</si>
  <si>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</si>
  <si>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</si>
  <si>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</si>
  <si>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</si>
  <si>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</si>
  <si>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</si>
  <si>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</si>
  <si>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</si>
  <si>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</si>
  <si>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</si>
  <si>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</si>
  <si>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</si>
  <si>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</si>
  <si>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</si>
  <si>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</si>
  <si>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</si>
  <si>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</si>
  <si>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</si>
  <si>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</si>
  <si>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</si>
  <si>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</si>
  <si>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</si>
  <si>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</si>
  <si>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</si>
  <si>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</si>
  <si>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</si>
  <si>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</si>
  <si>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</si>
  <si>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</si>
  <si>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</si>
  <si>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</si>
  <si>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</si>
  <si>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</si>
  <si>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</si>
  <si>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</si>
  <si>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</si>
  <si>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</si>
  <si>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</si>
  <si>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</si>
  <si>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</si>
  <si>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</si>
  <si>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</si>
  <si>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</si>
  <si>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</si>
  <si>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</si>
  <si>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</si>
  <si>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</si>
  <si>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</si>
  <si>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</si>
  <si>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</si>
  <si>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</si>
  <si>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</si>
  <si>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</si>
  <si>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</si>
  <si>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</si>
  <si>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</si>
  <si>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</si>
  <si>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</si>
  <si>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</si>
  <si>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</si>
  <si>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</si>
  <si>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</si>
  <si>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</si>
  <si>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</si>
  <si>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</si>
  <si>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</si>
  <si>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</si>
  <si>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</si>
  <si>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</si>
  <si>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</si>
  <si>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</si>
  <si>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</si>
  <si>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</si>
  <si>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</si>
  <si>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</si>
  <si>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</si>
  <si>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</si>
  <si>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</si>
  <si>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</si>
  <si>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</si>
  <si>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</si>
  <si>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</si>
  <si>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</si>
  <si>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</si>
  <si>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</si>
  <si>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</si>
  <si>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</si>
  <si>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</si>
  <si>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</si>
  <si>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</si>
  <si>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</si>
  <si>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</si>
  <si>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</si>
  <si>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</si>
  <si>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</si>
  <si>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</si>
  <si>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</si>
  <si>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</si>
  <si>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</si>
  <si>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</si>
  <si>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</si>
  <si>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</si>
  <si>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</si>
  <si>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</si>
  <si>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</si>
  <si>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</si>
  <si>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</si>
  <si>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</si>
  <si>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</si>
  <si>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</si>
  <si>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</si>
  <si>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</si>
  <si>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</si>
  <si>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</si>
  <si>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</si>
  <si>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</si>
  <si>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</si>
  <si>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</si>
  <si>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</si>
  <si>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</si>
  <si>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</si>
  <si>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</si>
  <si>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</si>
  <si>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</si>
  <si>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</si>
  <si>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</si>
  <si>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</si>
  <si>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</si>
  <si>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</si>
  <si>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</si>
  <si>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</si>
  <si>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</si>
  <si>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</si>
  <si>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</si>
  <si>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</si>
  <si>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</si>
  <si>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</si>
  <si>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</si>
  <si>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</si>
  <si>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</si>
  <si>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</si>
  <si>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</si>
  <si>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</si>
  <si>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</si>
  <si>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</si>
  <si>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</si>
  <si>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</si>
  <si>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</si>
  <si>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</si>
  <si>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</si>
  <si>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</si>
  <si>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</si>
  <si>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</si>
  <si>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</si>
  <si>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</si>
  <si>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</si>
  <si>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</si>
  <si>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</si>
  <si>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</si>
  <si>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</si>
  <si>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</si>
  <si>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</si>
  <si>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</si>
  <si>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</si>
  <si>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</si>
  <si>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</si>
  <si>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</si>
  <si>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</si>
  <si>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</si>
  <si>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</si>
  <si>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</si>
  <si>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</si>
  <si>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</si>
  <si>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</si>
  <si>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</si>
  <si>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</si>
  <si>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</si>
  <si>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</si>
  <si>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</si>
  <si>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</si>
  <si>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</si>
  <si>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</si>
  <si>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</si>
  <si>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</si>
  <si>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</si>
  <si>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</si>
  <si>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</si>
  <si>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</si>
  <si>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</si>
  <si>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</si>
  <si>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</si>
  <si>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</si>
  <si>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</si>
  <si>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</si>
  <si>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</si>
  <si>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</si>
  <si>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</si>
  <si>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</si>
  <si>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</si>
  <si>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</si>
  <si>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</si>
  <si>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</si>
  <si>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</si>
  <si>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</si>
  <si>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</si>
  <si>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</si>
  <si>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</si>
  <si>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</si>
  <si>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</si>
  <si>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</si>
  <si>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</si>
  <si>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</si>
  <si>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</si>
  <si>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</si>
  <si>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</si>
  <si>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</si>
  <si>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</si>
  <si>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</si>
  <si>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</si>
  <si>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</si>
  <si>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</si>
  <si>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</si>
  <si>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</si>
  <si>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</si>
  <si>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</si>
  <si>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</si>
  <si>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</si>
  <si>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</si>
  <si>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</si>
  <si>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</si>
  <si>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</si>
  <si>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</si>
  <si>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</si>
  <si>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</si>
  <si>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</si>
  <si>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</si>
  <si>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</si>
  <si>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</si>
  <si>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</si>
  <si>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</si>
  <si>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</si>
  <si>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</si>
  <si>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</si>
  <si>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</si>
  <si>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</si>
  <si>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</si>
  <si>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</si>
  <si>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</si>
  <si>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</si>
  <si>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</si>
  <si>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</si>
  <si>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</si>
  <si>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</si>
  <si>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</si>
  <si>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</si>
  <si>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</si>
  <si>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</si>
  <si>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</si>
  <si>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</si>
  <si>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</si>
  <si>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</si>
  <si>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</si>
  <si>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</si>
  <si>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</si>
  <si>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</si>
  <si>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</si>
  <si>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</si>
  <si>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</si>
  <si>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</si>
  <si>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</si>
  <si>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</si>
  <si>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</si>
  <si>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</si>
  <si>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</si>
  <si>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</si>
  <si>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</si>
  <si>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</si>
  <si>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</si>
  <si>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</si>
  <si>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</si>
  <si>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</si>
  <si>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</si>
  <si>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</si>
  <si>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</si>
  <si>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</si>
  <si>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</si>
  <si>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</si>
  <si>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</si>
  <si>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</si>
  <si>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</si>
  <si>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</si>
  <si>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</si>
  <si>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</si>
  <si>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</si>
  <si>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</si>
  <si>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</si>
  <si>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</si>
  <si>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</si>
  <si>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</si>
  <si>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</si>
  <si>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</si>
  <si>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</si>
  <si>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</si>
  <si>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</si>
  <si>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</si>
  <si>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</si>
  <si>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</si>
  <si>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</si>
  <si>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</si>
  <si>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</si>
  <si>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</si>
  <si>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</si>
  <si>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</si>
  <si>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</si>
  <si>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</si>
  <si>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</si>
  <si>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</si>
  <si>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</si>
  <si>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</si>
  <si>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</si>
  <si>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</si>
  <si>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</si>
  <si>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</si>
  <si>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</si>
  <si>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</si>
  <si>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</si>
  <si>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</si>
  <si>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</si>
  <si>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</si>
  <si>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</si>
  <si>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</si>
  <si>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</si>
  <si>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</si>
  <si>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</si>
  <si>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</si>
  <si>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</si>
  <si>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</si>
  <si>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</si>
  <si>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</si>
  <si>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</si>
  <si>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</si>
  <si>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</si>
  <si>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</si>
  <si>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</si>
  <si>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</si>
  <si>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</si>
  <si>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</si>
  <si>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</si>
  <si>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</si>
  <si>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</si>
  <si>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</si>
  <si>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</si>
  <si>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</si>
  <si>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</si>
  <si>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</si>
  <si>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</si>
  <si>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</si>
  <si>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</si>
  <si>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</si>
  <si>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</si>
  <si>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</si>
  <si>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</si>
  <si>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</si>
  <si>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</si>
  <si>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</si>
  <si>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</si>
  <si>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</si>
  <si>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</si>
  <si>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</si>
  <si>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</si>
  <si>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</si>
  <si>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</si>
  <si>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</si>
  <si>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</si>
  <si>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</si>
  <si>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</si>
  <si>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</si>
  <si>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</si>
  <si>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</si>
  <si>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</si>
  <si>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</si>
  <si>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</si>
  <si>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</si>
  <si>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</si>
  <si>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</si>
  <si>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</si>
  <si>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</si>
  <si>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</si>
  <si>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</si>
  <si>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</si>
  <si>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</si>
  <si>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</si>
  <si>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</si>
  <si>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</si>
  <si>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</si>
  <si>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</si>
  <si>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</si>
  <si>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</si>
  <si>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</si>
  <si>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</si>
  <si>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</si>
  <si>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</si>
  <si>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</si>
  <si>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</si>
  <si>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</si>
  <si>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</si>
  <si>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</si>
  <si>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</si>
  <si>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</si>
  <si>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</si>
  <si>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</si>
  <si>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</si>
  <si>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</si>
  <si>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</si>
  <si>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</si>
  <si>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</si>
  <si>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</si>
  <si>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</si>
  <si>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</si>
  <si>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</si>
  <si>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</si>
  <si>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</si>
  <si>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</si>
  <si>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</si>
  <si>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</si>
  <si>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</si>
  <si>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</si>
  <si>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</si>
  <si>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</si>
  <si>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</si>
  <si>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</si>
  <si>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</si>
  <si>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</si>
  <si>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</si>
  <si>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</si>
  <si>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</si>
  <si>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</si>
  <si>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</si>
  <si>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</si>
  <si>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</si>
  <si>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</si>
  <si>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</si>
  <si>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</si>
  <si>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</si>
  <si>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</si>
  <si>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</si>
  <si>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</si>
  <si>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</si>
  <si>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</si>
  <si>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</si>
  <si>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</si>
  <si>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</si>
  <si>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</si>
  <si>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</si>
  <si>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</si>
  <si>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</si>
  <si>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</si>
  <si>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</si>
  <si>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</si>
  <si>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</si>
  <si>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</si>
  <si>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</si>
  <si>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</si>
  <si>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</si>
  <si>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</si>
  <si>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</si>
  <si>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</si>
  <si>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</si>
  <si>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</si>
  <si>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</si>
  <si>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</si>
  <si>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</si>
  <si>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</si>
  <si>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</si>
  <si>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</si>
  <si>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</si>
  <si>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</si>
  <si>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</si>
  <si>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</si>
  <si>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</si>
  <si>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</si>
  <si>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</si>
  <si>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</si>
  <si>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</si>
  <si>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</si>
  <si>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</si>
  <si>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</si>
  <si>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</si>
  <si>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</si>
  <si>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</si>
  <si>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</si>
  <si>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</si>
  <si>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</si>
  <si>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</si>
  <si>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</si>
  <si>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</si>
  <si>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</si>
  <si>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</si>
  <si>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</si>
  <si>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</si>
  <si>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</si>
  <si>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</si>
  <si>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</si>
  <si>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</si>
  <si>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</si>
  <si>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</si>
  <si>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</si>
  <si>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</si>
  <si>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</si>
  <si>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</si>
  <si>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</si>
  <si>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</si>
  <si>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</si>
  <si>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</si>
  <si>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</si>
  <si>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</si>
  <si>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</si>
  <si>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</si>
  <si>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</si>
  <si>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</si>
  <si>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</si>
  <si>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</si>
  <si>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</si>
  <si>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</si>
  <si>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</si>
  <si>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</si>
  <si>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</si>
  <si>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</si>
  <si>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</si>
  <si>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</si>
  <si>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</si>
  <si>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</si>
  <si>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</si>
  <si>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</si>
  <si>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</si>
  <si>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</si>
  <si>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</si>
  <si>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</si>
  <si>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</si>
  <si>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</si>
  <si>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</si>
  <si>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</si>
  <si>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</si>
  <si>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</si>
  <si>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</si>
  <si>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</si>
  <si>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</si>
  <si>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</si>
  <si>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</si>
  <si>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</si>
  <si>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</si>
  <si>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</si>
  <si>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</si>
  <si>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</si>
  <si>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</si>
  <si>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</si>
  <si>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</si>
  <si>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</si>
  <si>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</si>
  <si>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</si>
  <si>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</si>
  <si>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</si>
  <si>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</si>
  <si>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</si>
  <si>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</si>
  <si>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</si>
  <si>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</si>
  <si>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</si>
  <si>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</si>
  <si>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</si>
  <si>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</si>
  <si>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</si>
  <si>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</si>
  <si>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</si>
  <si>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</si>
  <si>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</si>
  <si>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</si>
  <si>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</si>
  <si>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</si>
  <si>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</si>
  <si>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</si>
  <si>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</si>
  <si>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</si>
  <si>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</si>
  <si>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</si>
  <si>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</si>
  <si>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</si>
  <si>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</si>
  <si>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</si>
  <si>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</si>
  <si>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</si>
  <si>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</si>
  <si>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</si>
  <si>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</si>
  <si>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</si>
  <si>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</si>
  <si>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</si>
  <si>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</si>
  <si>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</si>
  <si>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</si>
  <si>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</si>
  <si>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</si>
  <si>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</si>
  <si>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</si>
  <si>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</si>
  <si>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</si>
  <si>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</si>
  <si>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</si>
  <si>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</si>
  <si>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</si>
  <si>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</si>
  <si>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</si>
  <si>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</si>
  <si>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</si>
  <si>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</si>
  <si>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</si>
  <si>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</si>
  <si>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</si>
  <si>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</si>
  <si>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</si>
  <si>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</si>
  <si>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</si>
  <si>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</si>
  <si>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</si>
  <si>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</si>
  <si>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</si>
  <si>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</si>
  <si>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</si>
  <si>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</si>
  <si>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</si>
  <si>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</si>
  <si>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</si>
  <si>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</si>
  <si>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</si>
  <si>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</si>
  <si>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</si>
  <si>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</si>
  <si>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</si>
  <si>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</si>
  <si>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</si>
  <si>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</si>
  <si>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</si>
  <si>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</si>
  <si>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</si>
  <si>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</si>
  <si>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</si>
  <si>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</si>
  <si>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</si>
  <si>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</si>
  <si>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</si>
  <si>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</si>
  <si>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</si>
  <si>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</si>
  <si>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</si>
  <si>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</si>
  <si>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</si>
  <si>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</si>
  <si>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</si>
  <si>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</si>
  <si>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</si>
  <si>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</si>
  <si>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</si>
  <si>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</si>
  <si>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</si>
  <si>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</si>
  <si>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</si>
  <si>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</si>
  <si>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</si>
  <si>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</si>
  <si>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</si>
  <si>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</si>
  <si>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</si>
  <si>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</si>
  <si>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</si>
  <si>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</si>
  <si>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</si>
  <si>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</si>
  <si>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</si>
  <si>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</si>
  <si>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</si>
  <si>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</si>
  <si>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</si>
  <si>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</si>
  <si>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</si>
  <si>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</si>
  <si>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</si>
  <si>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</si>
  <si>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</si>
  <si>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</si>
  <si>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</si>
  <si>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</si>
  <si>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</si>
  <si>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</si>
  <si>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</si>
  <si>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</si>
  <si>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</si>
  <si>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</si>
  <si>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</si>
  <si>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</si>
  <si>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</si>
  <si>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</si>
  <si>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</si>
  <si>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</si>
  <si>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</si>
  <si>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</si>
  <si>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</si>
  <si>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</si>
  <si>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</si>
  <si>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</si>
  <si>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</si>
  <si>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</si>
  <si>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</si>
  <si>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</si>
  <si>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</si>
  <si>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</si>
  <si>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</si>
  <si>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</si>
  <si>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</si>
  <si>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</si>
  <si>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</si>
  <si>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</si>
  <si>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</si>
  <si>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</si>
  <si>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</si>
  <si>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</si>
  <si>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</si>
  <si>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</si>
  <si>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</si>
  <si>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</si>
  <si>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</si>
  <si>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</si>
  <si>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</si>
  <si>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</si>
  <si>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</si>
  <si>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</si>
  <si>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</si>
  <si>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</si>
  <si>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</si>
  <si>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</si>
  <si>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</si>
  <si>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</si>
  <si>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</si>
  <si>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</si>
  <si>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</si>
  <si>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</si>
  <si>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</si>
  <si>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</si>
  <si>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</si>
  <si>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</si>
  <si>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</si>
  <si>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</si>
  <si>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</si>
  <si>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</si>
  <si>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</si>
  <si>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</si>
  <si>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</si>
  <si>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</si>
  <si>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</si>
  <si>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</si>
  <si>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</si>
  <si>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</si>
  <si>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</si>
  <si>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</si>
  <si>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</si>
  <si>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</si>
  <si>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</si>
  <si>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</si>
  <si>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</si>
  <si>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</si>
  <si>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</si>
  <si>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</si>
  <si>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</si>
  <si>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</si>
  <si>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</si>
  <si>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</si>
  <si>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</si>
  <si>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</si>
  <si>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</si>
  <si>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</si>
  <si>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</si>
  <si>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</si>
  <si>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</si>
  <si>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</si>
  <si>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</si>
  <si>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</si>
  <si>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</si>
  <si>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</si>
  <si>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</si>
  <si>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</si>
  <si>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</si>
  <si>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</si>
  <si>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</si>
  <si>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</si>
  <si>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</si>
  <si>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</si>
  <si>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24109</t>
  </si>
  <si>
    <t>TREMELO</t>
  </si>
  <si>
    <t>Cultuurgrond (ha)</t>
  </si>
  <si>
    <t>Paarden&amp;pony's 200 - 600 kg</t>
  </si>
  <si>
    <t>Paarden&amp;pony's &lt; 200 kg</t>
  </si>
  <si>
    <t>op basis van VEA (maart 2018) en Inventaris Hernieuwbare Energiebronnen (juni 2018)</t>
  </si>
  <si>
    <t>VEA (juni 2018)</t>
  </si>
  <si>
    <t>Architeam bvba</t>
  </si>
  <si>
    <t>Bleybergweg 14 , 3140 Keerbergen</t>
  </si>
  <si>
    <t>WKK-0192 Architeam</t>
  </si>
  <si>
    <t>interne verbrandingsmotor</t>
  </si>
  <si>
    <t>WKK interne verbrandinsgmotor (vloeibaar)</t>
  </si>
  <si>
    <t>Grootlosestraat 53 , 3128 Baal</t>
  </si>
  <si>
    <t>PBE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</si>
</sst>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141693.51884454815</c:v>
                </c:pt>
                <c:pt idx="1">
                  <c:v>26117.911977949741</c:v>
                </c:pt>
                <c:pt idx="2">
                  <c:v>966.01199999999994</c:v>
                </c:pt>
                <c:pt idx="3">
                  <c:v>8509.5227698172821</c:v>
                </c:pt>
                <c:pt idx="4">
                  <c:v>5007.7050335724416</c:v>
                </c:pt>
                <c:pt idx="5">
                  <c:v>39804.842736406979</c:v>
                </c:pt>
                <c:pt idx="6">
                  <c:v>870.84736218929004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141693.51884454815</c:v>
                </c:pt>
                <c:pt idx="1">
                  <c:v>26117.911977949741</c:v>
                </c:pt>
                <c:pt idx="2">
                  <c:v>966.01199999999994</c:v>
                </c:pt>
                <c:pt idx="3">
                  <c:v>8509.5227698172821</c:v>
                </c:pt>
                <c:pt idx="4">
                  <c:v>5007.7050335724416</c:v>
                </c:pt>
                <c:pt idx="5">
                  <c:v>39804.842736406979</c:v>
                </c:pt>
                <c:pt idx="6">
                  <c:v>870.84736218929004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31084.196373508028</c:v>
                </c:pt>
                <c:pt idx="2">
                  <c:v>5190.7609880437203</c:v>
                </c:pt>
                <c:pt idx="3">
                  <c:v>195.57372020191102</c:v>
                </c:pt>
                <c:pt idx="4">
                  <c:v>2175.4127371922555</c:v>
                </c:pt>
                <c:pt idx="5">
                  <c:v>1019.9171771835713</c:v>
                </c:pt>
                <c:pt idx="6">
                  <c:v>10025.706907028105</c:v>
                </c:pt>
                <c:pt idx="7">
                  <c:v>222.61596906038051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6128"/>
        <c:axId val="182817920"/>
      </c:barChart>
      <c:catAx>
        <c:axId val="182816128"/>
        <c:scaling>
          <c:orientation val="minMax"/>
        </c:scaling>
        <c:axPos val="b"/>
        <c:numFmt formatCode="General" sourceLinked="0"/>
        <c:tickLblPos val="nextTo"/>
        <c:crossAx val="182817920"/>
        <c:crosses val="autoZero"/>
        <c:auto val="1"/>
        <c:lblAlgn val="ctr"/>
        <c:lblOffset val="100"/>
      </c:catAx>
      <c:valAx>
        <c:axId val="182817920"/>
        <c:scaling>
          <c:orientation val="minMax"/>
        </c:scaling>
        <c:axPos val="l"/>
        <c:majorGridlines/>
        <c:numFmt formatCode="#,##0" sourceLinked="1"/>
        <c:tickLblPos val="nextTo"/>
        <c:crossAx val="1828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31084.196373508028</c:v>
                </c:pt>
                <c:pt idx="2">
                  <c:v>5190.7609880437203</c:v>
                </c:pt>
                <c:pt idx="3">
                  <c:v>195.57372020191102</c:v>
                </c:pt>
                <c:pt idx="4">
                  <c:v>2175.4127371922555</c:v>
                </c:pt>
                <c:pt idx="5">
                  <c:v>1019.9171771835713</c:v>
                </c:pt>
                <c:pt idx="6">
                  <c:v>10025.706907028105</c:v>
                </c:pt>
                <c:pt idx="7">
                  <c:v>222.61596906038051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24109</v>
      </c>
      <c r="B6" s="398"/>
      <c r="C6" s="399"/>
    </row>
    <row r="7" spans="1:7" s="396" customFormat="1" ht="15.75" customHeight="1">
      <c r="A7" s="400" t="str">
        <f>txtMunicipality</f>
        <v>TREMELO</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0.20245475232389559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0.20245475232389559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24109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5926</v>
      </c>
      <c r="C9" s="338">
        <v>6281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273</v>
      </c>
    </row>
    <row r="15" spans="1:6">
      <c r="A15" s="1295" t="s">
        <v>184</v>
      </c>
      <c r="B15" s="335">
        <v>0</v>
      </c>
    </row>
    <row r="16" spans="1:6">
      <c r="A16" s="1295" t="s">
        <v>6</v>
      </c>
      <c r="B16" s="335">
        <v>0</v>
      </c>
    </row>
    <row r="17" spans="1:6">
      <c r="A17" s="1295" t="s">
        <v>7</v>
      </c>
      <c r="B17" s="335">
        <v>40</v>
      </c>
    </row>
    <row r="18" spans="1:6">
      <c r="A18" s="1295" t="s">
        <v>8</v>
      </c>
      <c r="B18" s="335">
        <v>35</v>
      </c>
    </row>
    <row r="19" spans="1:6">
      <c r="A19" s="1295" t="s">
        <v>9</v>
      </c>
      <c r="B19" s="335">
        <v>34</v>
      </c>
    </row>
    <row r="20" spans="1:6">
      <c r="A20" s="1295" t="s">
        <v>10</v>
      </c>
      <c r="B20" s="335">
        <v>34</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63699</v>
      </c>
    </row>
    <row r="29" spans="1:6">
      <c r="A29" s="1296" t="s">
        <v>909</v>
      </c>
      <c r="B29" s="1296">
        <v>49</v>
      </c>
      <c r="C29" s="341"/>
      <c r="D29" s="341"/>
      <c r="E29" s="341"/>
      <c r="F29" s="341"/>
    </row>
    <row r="30" spans="1:6">
      <c r="A30" s="1291" t="s">
        <v>910</v>
      </c>
      <c r="B30" s="1291">
        <v>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22496.415915008001</v>
      </c>
    </row>
    <row r="39" spans="1:6">
      <c r="A39" s="1295" t="s">
        <v>30</v>
      </c>
      <c r="B39" s="1295" t="s">
        <v>31</v>
      </c>
      <c r="C39" s="335">
        <v>1812</v>
      </c>
      <c r="D39" s="335">
        <v>33998200.5221214</v>
      </c>
      <c r="E39" s="335">
        <v>5837</v>
      </c>
      <c r="F39" s="335">
        <v>26598273.299314298</v>
      </c>
    </row>
    <row r="40" spans="1:6">
      <c r="A40" s="1295" t="s">
        <v>30</v>
      </c>
      <c r="B40" s="1295" t="s">
        <v>29</v>
      </c>
      <c r="C40" s="335">
        <v>0</v>
      </c>
      <c r="D40" s="335">
        <v>0</v>
      </c>
      <c r="E40" s="335">
        <v>0</v>
      </c>
      <c r="F40" s="335">
        <v>0</v>
      </c>
    </row>
    <row r="41" spans="1:6">
      <c r="A41" s="1295" t="s">
        <v>32</v>
      </c>
      <c r="B41" s="1295" t="s">
        <v>33</v>
      </c>
      <c r="C41" s="335">
        <v>15</v>
      </c>
      <c r="D41" s="335">
        <v>263206.00671992998</v>
      </c>
      <c r="E41" s="335">
        <v>114</v>
      </c>
      <c r="F41" s="335">
        <v>922007.55339166592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22</v>
      </c>
      <c r="D48" s="335">
        <v>795113.12499118398</v>
      </c>
      <c r="E48" s="335">
        <v>14</v>
      </c>
      <c r="F48" s="335">
        <v>114167.787363093</v>
      </c>
    </row>
    <row r="49" spans="1:6">
      <c r="A49" s="1295" t="s">
        <v>32</v>
      </c>
      <c r="B49" s="1295" t="s">
        <v>40</v>
      </c>
      <c r="C49" s="335">
        <v>0</v>
      </c>
      <c r="D49" s="335">
        <v>0</v>
      </c>
      <c r="E49" s="335">
        <v>0</v>
      </c>
      <c r="F49" s="335">
        <v>0</v>
      </c>
    </row>
    <row r="50" spans="1:6">
      <c r="A50" s="1295" t="s">
        <v>32</v>
      </c>
      <c r="B50" s="1295" t="s">
        <v>41</v>
      </c>
      <c r="C50" s="335">
        <v>0</v>
      </c>
      <c r="D50" s="335">
        <v>0</v>
      </c>
      <c r="E50" s="335">
        <v>9</v>
      </c>
      <c r="F50" s="335">
        <v>626660.887653296</v>
      </c>
    </row>
    <row r="51" spans="1:6">
      <c r="A51" s="1295" t="s">
        <v>42</v>
      </c>
      <c r="B51" s="1295" t="s">
        <v>43</v>
      </c>
      <c r="C51" s="335">
        <v>0</v>
      </c>
      <c r="D51" s="335">
        <v>0</v>
      </c>
      <c r="E51" s="335">
        <v>10</v>
      </c>
      <c r="F51" s="335">
        <v>279772</v>
      </c>
    </row>
    <row r="52" spans="1:6">
      <c r="A52" s="1295" t="s">
        <v>42</v>
      </c>
      <c r="B52" s="1295" t="s">
        <v>29</v>
      </c>
      <c r="C52" s="335">
        <v>1</v>
      </c>
      <c r="D52" s="335">
        <v>15989.125171391999</v>
      </c>
      <c r="E52" s="335">
        <v>2</v>
      </c>
      <c r="F52" s="335">
        <v>1561688.6169879499</v>
      </c>
    </row>
    <row r="53" spans="1:6">
      <c r="A53" s="1295" t="s">
        <v>44</v>
      </c>
      <c r="B53" s="1295" t="s">
        <v>45</v>
      </c>
      <c r="C53" s="335">
        <v>66</v>
      </c>
      <c r="D53" s="335">
        <v>1793246.21647307</v>
      </c>
      <c r="E53" s="335">
        <v>106</v>
      </c>
      <c r="F53" s="335">
        <v>548905.92661736906</v>
      </c>
    </row>
    <row r="54" spans="1:6">
      <c r="A54" s="1295" t="s">
        <v>46</v>
      </c>
      <c r="B54" s="1295" t="s">
        <v>47</v>
      </c>
      <c r="C54" s="335">
        <v>0</v>
      </c>
      <c r="D54" s="335">
        <v>0</v>
      </c>
      <c r="E54" s="335">
        <v>1</v>
      </c>
      <c r="F54" s="335">
        <v>645213</v>
      </c>
    </row>
    <row r="55" spans="1:6">
      <c r="A55" s="1295" t="s">
        <v>46</v>
      </c>
      <c r="B55" s="1295" t="s">
        <v>29</v>
      </c>
      <c r="C55" s="335">
        <v>0</v>
      </c>
      <c r="D55" s="335">
        <v>0</v>
      </c>
      <c r="E55" s="335">
        <v>1</v>
      </c>
      <c r="F55" s="335">
        <v>320799</v>
      </c>
    </row>
    <row r="56" spans="1:6">
      <c r="A56" s="1295" t="s">
        <v>48</v>
      </c>
      <c r="B56" s="1295" t="s">
        <v>29</v>
      </c>
      <c r="C56" s="335">
        <v>0</v>
      </c>
      <c r="D56" s="335">
        <v>0</v>
      </c>
      <c r="E56" s="335">
        <v>42</v>
      </c>
      <c r="F56" s="335">
        <v>263794</v>
      </c>
    </row>
    <row r="57" spans="1:6">
      <c r="A57" s="1295" t="s">
        <v>49</v>
      </c>
      <c r="B57" s="1295" t="s">
        <v>50</v>
      </c>
      <c r="C57" s="335">
        <v>18</v>
      </c>
      <c r="D57" s="335">
        <v>1080528.10641894</v>
      </c>
      <c r="E57" s="335">
        <v>116</v>
      </c>
      <c r="F57" s="335">
        <v>1345510.3072888851</v>
      </c>
    </row>
    <row r="58" spans="1:6">
      <c r="A58" s="1295" t="s">
        <v>49</v>
      </c>
      <c r="B58" s="1295" t="s">
        <v>51</v>
      </c>
      <c r="C58" s="335">
        <v>7</v>
      </c>
      <c r="D58" s="335">
        <v>4869298.7531227795</v>
      </c>
      <c r="E58" s="335">
        <v>21</v>
      </c>
      <c r="F58" s="335">
        <v>1564333.0443200499</v>
      </c>
    </row>
    <row r="59" spans="1:6">
      <c r="A59" s="1295" t="s">
        <v>49</v>
      </c>
      <c r="B59" s="1295" t="s">
        <v>52</v>
      </c>
      <c r="C59" s="335">
        <v>25</v>
      </c>
      <c r="D59" s="335">
        <v>843469.79730091395</v>
      </c>
      <c r="E59" s="335">
        <v>154</v>
      </c>
      <c r="F59" s="335">
        <v>4145974.2514452999</v>
      </c>
    </row>
    <row r="60" spans="1:6">
      <c r="A60" s="1295" t="s">
        <v>49</v>
      </c>
      <c r="B60" s="1295" t="s">
        <v>53</v>
      </c>
      <c r="C60" s="335">
        <v>16</v>
      </c>
      <c r="D60" s="335">
        <v>1079239.00872155</v>
      </c>
      <c r="E60" s="335">
        <v>51</v>
      </c>
      <c r="F60" s="335">
        <v>1346364.327340991</v>
      </c>
    </row>
    <row r="61" spans="1:6">
      <c r="A61" s="1295" t="s">
        <v>49</v>
      </c>
      <c r="B61" s="1295" t="s">
        <v>54</v>
      </c>
      <c r="C61" s="335">
        <v>30</v>
      </c>
      <c r="D61" s="335">
        <v>879119.04299141304</v>
      </c>
      <c r="E61" s="335">
        <v>168</v>
      </c>
      <c r="F61" s="335">
        <v>1632278.3475469649</v>
      </c>
    </row>
    <row r="62" spans="1:6">
      <c r="A62" s="1295" t="s">
        <v>49</v>
      </c>
      <c r="B62" s="1295" t="s">
        <v>55</v>
      </c>
      <c r="C62" s="335">
        <v>3</v>
      </c>
      <c r="D62" s="335">
        <v>312015.37294275302</v>
      </c>
      <c r="E62" s="335">
        <v>9</v>
      </c>
      <c r="F62" s="335">
        <v>116296.6075253606</v>
      </c>
    </row>
    <row r="63" spans="1:6">
      <c r="A63" s="1295" t="s">
        <v>49</v>
      </c>
      <c r="B63" s="1295" t="s">
        <v>29</v>
      </c>
      <c r="C63" s="335">
        <v>71</v>
      </c>
      <c r="D63" s="335">
        <v>3358864.1244608001</v>
      </c>
      <c r="E63" s="335">
        <v>74</v>
      </c>
      <c r="F63" s="335">
        <v>1032719.71473435</v>
      </c>
    </row>
    <row r="64" spans="1:6">
      <c r="A64" s="1295" t="s">
        <v>56</v>
      </c>
      <c r="B64" s="1295" t="s">
        <v>57</v>
      </c>
      <c r="C64" s="335">
        <v>0</v>
      </c>
      <c r="D64" s="335">
        <v>0</v>
      </c>
      <c r="E64" s="335">
        <v>0</v>
      </c>
      <c r="F64" s="335">
        <v>0</v>
      </c>
    </row>
    <row r="65" spans="1:6">
      <c r="A65" s="1295" t="s">
        <v>56</v>
      </c>
      <c r="B65" s="1295" t="s">
        <v>29</v>
      </c>
      <c r="C65" s="335">
        <v>4</v>
      </c>
      <c r="D65" s="335">
        <v>61829.719169623299</v>
      </c>
      <c r="E65" s="335">
        <v>2</v>
      </c>
      <c r="F65" s="335">
        <v>6628.0795824895995</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9</v>
      </c>
      <c r="F68" s="335">
        <v>42859.8341089604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4207575</v>
      </c>
      <c r="E73" s="335">
        <v>4391974.9679651158</v>
      </c>
    </row>
    <row r="74" spans="1:6">
      <c r="A74" s="1295" t="s">
        <v>64</v>
      </c>
      <c r="B74" s="1295" t="s">
        <v>727</v>
      </c>
      <c r="C74" s="1295" t="s">
        <v>728</v>
      </c>
      <c r="D74" s="335">
        <v>251436.25583028718</v>
      </c>
      <c r="E74" s="335">
        <v>280012.05844075605</v>
      </c>
    </row>
    <row r="75" spans="1:6">
      <c r="A75" s="1295" t="s">
        <v>65</v>
      </c>
      <c r="B75" s="1295" t="s">
        <v>725</v>
      </c>
      <c r="C75" s="1295" t="s">
        <v>729</v>
      </c>
      <c r="D75" s="335">
        <v>35539843</v>
      </c>
      <c r="E75" s="335">
        <v>36674332.94575502</v>
      </c>
    </row>
    <row r="76" spans="1:6">
      <c r="A76" s="1295" t="s">
        <v>65</v>
      </c>
      <c r="B76" s="1295" t="s">
        <v>727</v>
      </c>
      <c r="C76" s="1295" t="s">
        <v>730</v>
      </c>
      <c r="D76" s="335">
        <v>1131953.2558302872</v>
      </c>
      <c r="E76" s="335">
        <v>1186909.3582512008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230067.48833942565</v>
      </c>
      <c r="C83" s="335">
        <v>228052.25418212154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2589.3040000000001</v>
      </c>
    </row>
    <row r="92" spans="1:6">
      <c r="A92" s="1291" t="s">
        <v>69</v>
      </c>
      <c r="B92" s="338">
        <v>1138.886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471</v>
      </c>
    </row>
    <row r="98" spans="1:6">
      <c r="A98" s="1295" t="s">
        <v>72</v>
      </c>
      <c r="B98" s="335">
        <v>2</v>
      </c>
    </row>
    <row r="99" spans="1:6">
      <c r="A99" s="1295" t="s">
        <v>73</v>
      </c>
      <c r="B99" s="335">
        <v>258</v>
      </c>
    </row>
    <row r="100" spans="1:6">
      <c r="A100" s="1295" t="s">
        <v>74</v>
      </c>
      <c r="B100" s="335">
        <v>436</v>
      </c>
    </row>
    <row r="101" spans="1:6">
      <c r="A101" s="1295" t="s">
        <v>75</v>
      </c>
      <c r="B101" s="335">
        <v>47</v>
      </c>
    </row>
    <row r="102" spans="1:6">
      <c r="A102" s="1295" t="s">
        <v>76</v>
      </c>
      <c r="B102" s="335">
        <v>58</v>
      </c>
    </row>
    <row r="103" spans="1:6">
      <c r="A103" s="1295" t="s">
        <v>77</v>
      </c>
      <c r="B103" s="335">
        <v>127</v>
      </c>
    </row>
    <row r="104" spans="1:6">
      <c r="A104" s="1295" t="s">
        <v>78</v>
      </c>
      <c r="B104" s="335">
        <v>3603</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v>
      </c>
      <c r="C123" s="335">
        <v>18</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87</v>
      </c>
    </row>
    <row r="130" spans="1:6">
      <c r="A130" s="1295" t="s">
        <v>295</v>
      </c>
      <c r="B130" s="335">
        <v>0</v>
      </c>
    </row>
    <row r="131" spans="1:6">
      <c r="A131" s="1295" t="s">
        <v>296</v>
      </c>
      <c r="B131" s="335">
        <v>1</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45768.733037395439</v>
      </c>
      <c r="C3" s="43" t="s">
        <v>170</v>
      </c>
      <c r="D3" s="43"/>
      <c r="E3" s="156"/>
      <c r="F3" s="43"/>
      <c r="G3" s="43"/>
      <c r="H3" s="43"/>
      <c r="I3" s="43"/>
      <c r="J3" s="43"/>
      <c r="K3" s="96"/>
    </row>
    <row r="4" spans="1:11">
      <c r="A4" s="366" t="s">
        <v>171</v>
      </c>
      <c r="B4" s="49">
        <f>IF(ISERROR('SEAP template'!B78+'SEAP template'!C78),0,'SEAP template'!B78+'SEAP template'!C78)</f>
        <v>3840.69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0.20245475232389559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126.5625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966.01199999999994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966.01199999999994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0.20245475232389559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195.57372020191102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26598.273299314296</v>
      </c>
      <c r="C5" s="17">
        <f>IF(ISERROR('Eigen informatie GS &amp; warmtenet'!B57),0,'Eigen informatie GS &amp; warmtenet'!B57)</f>
        <v>0</v>
      </c>
      <c r="D5" s="30">
        <f>(SUM(HH_hh_gas_kWh,HH_rest_gas_kWh)/1000)*0.902</f>
        <v>30666.376870953503</v>
      </c>
      <c r="E5" s="17">
        <f>B46*B57</f>
        <v>12347.680513892677</v>
      </c>
      <c r="F5" s="17">
        <f>B51*B62</f>
        <v>60589.891520054487</v>
      </c>
      <c r="G5" s="18"/>
      <c r="H5" s="17"/>
      <c r="I5" s="17"/>
      <c r="J5" s="17">
        <f>B50*B61+C50*C61</f>
        <v>0</v>
      </c>
      <c r="K5" s="17"/>
      <c r="L5" s="17"/>
      <c r="M5" s="17"/>
      <c r="N5" s="17">
        <f>B48*B59+C48*C59</f>
        <v>8432.7759736665121</v>
      </c>
      <c r="O5" s="17">
        <f>B69*B70*B71</f>
        <v>164.15</v>
      </c>
      <c r="P5" s="17">
        <f>B77*B78*B79/1000-B77*B78*B79/1000/B80</f>
        <v>305.06666666666666</v>
      </c>
    </row>
    <row r="6" spans="1:16">
      <c r="A6" s="16" t="s">
        <v>634</v>
      </c>
      <c r="B6" s="783">
        <f>kWh_PV_kleiner_dan_10kW</f>
        <v>2589.3040000000001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29187.577299314296</v>
      </c>
      <c r="C8" s="21">
        <f>C5</f>
        <v>0</v>
      </c>
      <c r="D8" s="21">
        <f>D5</f>
        <v>30666.376870953503</v>
      </c>
      <c r="E8" s="21">
        <f>E5</f>
        <v>12347.680513892677</v>
      </c>
      <c r="F8" s="21">
        <f>F5</f>
        <v>60589.891520054487</v>
      </c>
      <c r="G8" s="21"/>
      <c r="H8" s="21"/>
      <c r="I8" s="21"/>
      <c r="J8" s="21">
        <f>J5</f>
        <v>0</v>
      </c>
      <c r="K8" s="21"/>
      <c r="L8" s="21">
        <f>L5</f>
        <v>0</v>
      </c>
      <c r="M8" s="21">
        <f>M5</f>
        <v>0</v>
      </c>
      <c r="N8" s="21">
        <f>N5</f>
        <v>8432.7759736665121</v>
      </c>
      <c r="O8" s="21">
        <f>O5</f>
        <v>164.15</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0.20245475232389559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5909.1637330672329</v>
      </c>
      <c r="C12" s="23">
        <f ca="1">C10*C8</f>
        <v>0</v>
      </c>
      <c r="D12" s="23">
        <f>D8*D10</f>
        <v>6194.6081279326081</v>
      </c>
      <c r="E12" s="23">
        <f>E10*E8</f>
        <v>2802.9234766536379</v>
      </c>
      <c r="F12" s="23">
        <f>F10*F8</f>
        <v>16177.50103585455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471</v>
      </c>
      <c r="C18" s="168" t="s">
        <v>111</v>
      </c>
      <c r="D18" s="230"/>
      <c r="E18" s="15"/>
    </row>
    <row r="19" spans="1:7">
      <c r="A19" s="173" t="s">
        <v>72</v>
      </c>
      <c r="B19" s="37">
        <f>aantalw2001_ander</f>
        <v>2</v>
      </c>
      <c r="C19" s="168" t="s">
        <v>111</v>
      </c>
      <c r="D19" s="231"/>
      <c r="E19" s="15"/>
    </row>
    <row r="20" spans="1:7">
      <c r="A20" s="173" t="s">
        <v>73</v>
      </c>
      <c r="B20" s="37">
        <f>aantalw2001_propaan</f>
        <v>258</v>
      </c>
      <c r="C20" s="169">
        <f>IF(ISERROR(B20/SUM($B$20,$B$21,$B$22)*100),0,B20/SUM($B$20,$B$21,$B$22)*100)</f>
        <v>34.817813765182187</v>
      </c>
      <c r="D20" s="231"/>
      <c r="E20" s="15"/>
    </row>
    <row r="21" spans="1:7">
      <c r="A21" s="173" t="s">
        <v>74</v>
      </c>
      <c r="B21" s="37">
        <f>aantalw2001_elektriciteit</f>
        <v>436</v>
      </c>
      <c r="C21" s="169">
        <f>IF(ISERROR(B21/SUM($B$20,$B$21,$B$22)*100),0,B21/SUM($B$20,$B$21,$B$22)*100)</f>
        <v>58.83940620782726</v>
      </c>
      <c r="D21" s="231"/>
      <c r="E21" s="15"/>
    </row>
    <row r="22" spans="1:7">
      <c r="A22" s="173" t="s">
        <v>75</v>
      </c>
      <c r="B22" s="37">
        <f>aantalw2001_hout</f>
        <v>47</v>
      </c>
      <c r="C22" s="169">
        <f>IF(ISERROR(B22/SUM($B$20,$B$21,$B$22)*100),0,B22/SUM($B$20,$B$21,$B$22)*100)</f>
        <v>6.3427800269905532</v>
      </c>
      <c r="D22" s="231"/>
      <c r="E22" s="15"/>
    </row>
    <row r="23" spans="1:7">
      <c r="A23" s="173" t="s">
        <v>76</v>
      </c>
      <c r="B23" s="37">
        <f>aantalw2001_niet_gespec</f>
        <v>58</v>
      </c>
      <c r="C23" s="168" t="s">
        <v>111</v>
      </c>
      <c r="D23" s="230"/>
      <c r="E23" s="15"/>
    </row>
    <row r="24" spans="1:7">
      <c r="A24" s="173" t="s">
        <v>77</v>
      </c>
      <c r="B24" s="37">
        <f>aantalw2001_steenkool</f>
        <v>127</v>
      </c>
      <c r="C24" s="168" t="s">
        <v>111</v>
      </c>
      <c r="D24" s="231"/>
      <c r="E24" s="15"/>
    </row>
    <row r="25" spans="1:7">
      <c r="A25" s="173" t="s">
        <v>78</v>
      </c>
      <c r="B25" s="37">
        <f>aantalw2001_stookolie</f>
        <v>3603</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5926</v>
      </c>
      <c r="C28" s="36"/>
      <c r="D28" s="230"/>
    </row>
    <row r="29" spans="1:7" s="15" customFormat="1">
      <c r="A29" s="232" t="s">
        <v>746</v>
      </c>
      <c r="B29" s="37">
        <f>SUM(HH_hh_gas_aantal,HH_rest_gas_aantal)</f>
        <v>1812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1812</v>
      </c>
      <c r="C32" s="169">
        <f>IF(ISERROR(B32/SUM($B$32,$B$34,$B$35,$B$36,$B$38,$B$39)*100),0,B32/SUM($B$32,$B$34,$B$35,$B$36,$B$38,$B$39)*100)</f>
        <v>30.659898477157359</v>
      </c>
      <c r="D32" s="235"/>
      <c r="G32" s="15"/>
    </row>
    <row r="33" spans="1:7">
      <c r="A33" s="173" t="s">
        <v>72</v>
      </c>
      <c r="B33" s="34" t="s">
        <v>111</v>
      </c>
      <c r="C33" s="169"/>
      <c r="D33" s="235"/>
      <c r="G33" s="15"/>
    </row>
    <row r="34" spans="1:7">
      <c r="A34" s="173" t="s">
        <v>73</v>
      </c>
      <c r="B34" s="33">
        <f>IF((($B$28-$B$32-$B$39-$B$77-$B$38)*C20/100)&lt;0,0,($B$28-$B$32-$B$39-$B$77-$B$38)*C20/100)</f>
        <v>592.56437246963571</v>
      </c>
      <c r="C34" s="169">
        <f>IF(ISERROR(B34/SUM($B$32,$B$34,$B$35,$B$36,$B$38,$B$39)*100),0,B34/SUM($B$32,$B$34,$B$35,$B$36,$B$38,$B$39)*100)</f>
        <v>10.02646992334409</v>
      </c>
      <c r="D34" s="235"/>
      <c r="G34" s="15"/>
    </row>
    <row r="35" spans="1:7">
      <c r="A35" s="173" t="s">
        <v>74</v>
      </c>
      <c r="B35" s="33">
        <f>IF((($B$28-$B$32-$B$39-$B$77-$B$38)*C21/100)&lt;0,0,($B$28-$B$32-$B$39-$B$77-$B$38)*C21/100)</f>
        <v>1001.3878542510122</v>
      </c>
      <c r="C35" s="169">
        <f>IF(ISERROR(B35/SUM($B$32,$B$34,$B$35,$B$36,$B$38,$B$39)*100),0,B35/SUM($B$32,$B$34,$B$35,$B$36,$B$38,$B$39)*100)</f>
        <v>16.943956924721018</v>
      </c>
      <c r="D35" s="235"/>
      <c r="G35" s="15"/>
    </row>
    <row r="36" spans="1:7">
      <c r="A36" s="173" t="s">
        <v>75</v>
      </c>
      <c r="B36" s="33">
        <f>IF((($B$28-$B$32-$B$39-$B$77-$B$38)*C22/100)&lt;0,0,($B$28-$B$32-$B$39-$B$77-$B$38)*C22/100)</f>
        <v>107.94777327935222</v>
      </c>
      <c r="C36" s="169">
        <f>IF(ISERROR(B36/SUM($B$32,$B$34,$B$35,$B$36,$B$38,$B$39)*100),0,B36/SUM($B$32,$B$34,$B$35,$B$36,$B$38,$B$39)*100)</f>
        <v>1.8265274666557056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2396.1</v>
      </c>
      <c r="C39" s="169">
        <f>IF(ISERROR(B39/SUM($B$32,$B$34,$B$35,$B$36,$B$38,$B$39)*100),0,B39/SUM($B$32,$B$34,$B$35,$B$36,$B$38,$B$39)*100)</f>
        <v>40.54314720812183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1812</v>
      </c>
      <c r="C44" s="34" t="s">
        <v>111</v>
      </c>
      <c r="D44" s="176"/>
    </row>
    <row r="45" spans="1:7">
      <c r="A45" s="173" t="s">
        <v>72</v>
      </c>
      <c r="B45" s="33" t="str">
        <f t="shared" si="0"/>
        <v>-</v>
      </c>
      <c r="C45" s="34" t="s">
        <v>111</v>
      </c>
      <c r="D45" s="176"/>
    </row>
    <row r="46" spans="1:7">
      <c r="A46" s="173" t="s">
        <v>73</v>
      </c>
      <c r="B46" s="33">
        <f t="shared" si="0"/>
        <v>592.56437246963571</v>
      </c>
      <c r="C46" s="34" t="s">
        <v>111</v>
      </c>
      <c r="D46" s="176"/>
    </row>
    <row r="47" spans="1:7">
      <c r="A47" s="173" t="s">
        <v>74</v>
      </c>
      <c r="B47" s="33">
        <f t="shared" si="0"/>
        <v>1001.3878542510122</v>
      </c>
      <c r="C47" s="34" t="s">
        <v>111</v>
      </c>
      <c r="D47" s="176"/>
    </row>
    <row r="48" spans="1:7">
      <c r="A48" s="173" t="s">
        <v>75</v>
      </c>
      <c r="B48" s="33">
        <f t="shared" si="0"/>
        <v>107.94777327935222</v>
      </c>
      <c r="C48" s="33">
        <f>B48*10</f>
        <v>1079.4777327935221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2396.1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11183.476600201902</v>
      </c>
      <c r="C5" s="17">
        <f>IF(ISERROR('Eigen informatie GS &amp; warmtenet'!B58),0,'Eigen informatie GS &amp; warmtenet'!B58)</f>
        <v>0</v>
      </c>
      <c r="D5" s="30">
        <f>SUM(D6:D12)</f>
        <v>11205.125853775153</v>
      </c>
      <c r="E5" s="17">
        <f>SUM(E6:E12)</f>
        <v>162.43353183880214</v>
      </c>
      <c r="F5" s="17">
        <f>SUM(F6:F12)</f>
        <v>2260.4082734207336</v>
      </c>
      <c r="G5" s="18"/>
      <c r="H5" s="17"/>
      <c r="I5" s="17"/>
      <c r="J5" s="17">
        <f>SUM(J6:J12)</f>
        <v>0</v>
      </c>
      <c r="K5" s="17"/>
      <c r="L5" s="17"/>
      <c r="M5" s="17"/>
      <c r="N5" s="17">
        <f>SUM(N6:N12)</f>
        <v>1048.3385520464838</v>
      </c>
      <c r="O5" s="17">
        <f>B38*B39*B40</f>
        <v>0</v>
      </c>
      <c r="P5" s="17">
        <f>B46*B47*B48/1000-B46*B47*B48/1000/B49</f>
        <v>19.066666666666666</v>
      </c>
      <c r="R5" s="32"/>
    </row>
    <row r="6" spans="1:18">
      <c r="A6" s="32" t="s">
        <v>54</v>
      </c>
      <c r="B6" s="37">
        <f>B26</f>
        <v>1632.2783475469648</v>
      </c>
      <c r="C6" s="33"/>
      <c r="D6" s="37">
        <f>IF(ISERROR(TER_kantoor_gas_kWh/1000),0,TER_kantoor_gas_kWh/1000)*0.902</f>
        <v>792.96537677825461</v>
      </c>
      <c r="E6" s="33">
        <f>$C$26*'E Balans VL '!I12/100/3.6*1000000</f>
        <v>6.341746953680917</v>
      </c>
      <c r="F6" s="33">
        <f>$C$26*('E Balans VL '!L12+'E Balans VL '!N12)/100/3.6*1000000</f>
        <v>248.25468411307864</v>
      </c>
      <c r="G6" s="34"/>
      <c r="H6" s="33"/>
      <c r="I6" s="33"/>
      <c r="J6" s="33">
        <f>$C$26*('E Balans VL '!D12+'E Balans VL '!E12)/100/3.6*1000000</f>
        <v>0</v>
      </c>
      <c r="K6" s="33"/>
      <c r="L6" s="33"/>
      <c r="M6" s="33"/>
      <c r="N6" s="33">
        <f>$C$26*'E Balans VL '!Y12/100/3.6*1000000</f>
        <v>0.89958091162880882</v>
      </c>
      <c r="O6" s="33"/>
      <c r="P6" s="33"/>
      <c r="R6" s="32"/>
    </row>
    <row r="7" spans="1:18">
      <c r="A7" s="32" t="s">
        <v>53</v>
      </c>
      <c r="B7" s="37">
        <f t="shared" ref="B7:B12" si="0">B27</f>
        <v>1346.3643273409909</v>
      </c>
      <c r="C7" s="33"/>
      <c r="D7" s="37">
        <f>IF(ISERROR(TER_horeca_gas_kWh/1000),0,TER_horeca_gas_kWh/1000)*0.902</f>
        <v>973.47358586683799</v>
      </c>
      <c r="E7" s="33">
        <f>$C$27*'E Balans VL '!I9/100/3.6*1000000</f>
        <v>75.841062517300358</v>
      </c>
      <c r="F7" s="33">
        <f>$C$27*('E Balans VL '!L9+'E Balans VL '!N9)/100/3.6*1000000</f>
        <v>388.21086681833788</v>
      </c>
      <c r="G7" s="34"/>
      <c r="H7" s="33"/>
      <c r="I7" s="33"/>
      <c r="J7" s="33">
        <f>$C$27*('E Balans VL '!D9+'E Balans VL '!E9)/100/3.6*1000000</f>
        <v>0</v>
      </c>
      <c r="K7" s="33"/>
      <c r="L7" s="33"/>
      <c r="M7" s="33"/>
      <c r="N7" s="33">
        <f>$C$27*'E Balans VL '!Y9/100/3.6*1000000</f>
        <v>0.37172419441153592</v>
      </c>
      <c r="O7" s="33"/>
      <c r="P7" s="33"/>
      <c r="R7" s="32"/>
    </row>
    <row r="8" spans="1:18">
      <c r="A8" s="6" t="s">
        <v>52</v>
      </c>
      <c r="B8" s="37">
        <f t="shared" si="0"/>
        <v>4145.9742514453001</v>
      </c>
      <c r="C8" s="33"/>
      <c r="D8" s="37">
        <f>IF(ISERROR(TER_handel_gas_kWh/1000),0,TER_handel_gas_kWh/1000)*0.902</f>
        <v>760.80975716542434</v>
      </c>
      <c r="E8" s="33">
        <f>$C$28*'E Balans VL '!I13/100/3.6*1000000</f>
        <v>59.757554854747873</v>
      </c>
      <c r="F8" s="33">
        <f>$C$28*('E Balans VL '!L13+'E Balans VL '!N13)/100/3.6*1000000</f>
        <v>720.25228070106402</v>
      </c>
      <c r="G8" s="34"/>
      <c r="H8" s="33"/>
      <c r="I8" s="33"/>
      <c r="J8" s="33">
        <f>$C$28*('E Balans VL '!D13+'E Balans VL '!E13)/100/3.6*1000000</f>
        <v>0</v>
      </c>
      <c r="K8" s="33"/>
      <c r="L8" s="33"/>
      <c r="M8" s="33"/>
      <c r="N8" s="33">
        <f>$C$28*'E Balans VL '!Y13/100/3.6*1000000</f>
        <v>12.421800396691571</v>
      </c>
      <c r="O8" s="33"/>
      <c r="P8" s="33"/>
      <c r="R8" s="32"/>
    </row>
    <row r="9" spans="1:18">
      <c r="A9" s="32" t="s">
        <v>51</v>
      </c>
      <c r="B9" s="37">
        <f t="shared" si="0"/>
        <v>1564.33304432005</v>
      </c>
      <c r="C9" s="33"/>
      <c r="D9" s="37">
        <f>IF(ISERROR(TER_gezond_gas_kWh/1000),0,TER_gezond_gas_kWh/1000)*0.902</f>
        <v>4392.1074753167468</v>
      </c>
      <c r="E9" s="33">
        <f>$C$29*'E Balans VL '!I10/100/3.6*1000000</f>
        <v>1.6711131515688462</v>
      </c>
      <c r="F9" s="33">
        <f>$C$29*('E Balans VL '!L10+'E Balans VL '!N10)/100/3.6*1000000</f>
        <v>255.19026139383701</v>
      </c>
      <c r="G9" s="34"/>
      <c r="H9" s="33"/>
      <c r="I9" s="33"/>
      <c r="J9" s="33">
        <f>$C$29*('E Balans VL '!D10+'E Balans VL '!E10)/100/3.6*1000000</f>
        <v>0</v>
      </c>
      <c r="K9" s="33"/>
      <c r="L9" s="33"/>
      <c r="M9" s="33"/>
      <c r="N9" s="33">
        <f>$C$29*'E Balans VL '!Y10/100/3.6*1000000</f>
        <v>16.103916100647286</v>
      </c>
      <c r="O9" s="33"/>
      <c r="P9" s="33"/>
      <c r="R9" s="32"/>
    </row>
    <row r="10" spans="1:18">
      <c r="A10" s="32" t="s">
        <v>50</v>
      </c>
      <c r="B10" s="37">
        <f t="shared" si="0"/>
        <v>1345.5103072888851</v>
      </c>
      <c r="C10" s="33"/>
      <c r="D10" s="37">
        <f>IF(ISERROR(TER_ander_gas_kWh/1000),0,TER_ander_gas_kWh/1000)*0.902</f>
        <v>974.63635198988402</v>
      </c>
      <c r="E10" s="33">
        <f>$C$30*'E Balans VL '!I14/100/3.6*1000000</f>
        <v>6.1877972359106446</v>
      </c>
      <c r="F10" s="33">
        <f>$C$30*('E Balans VL '!L14+'E Balans VL '!N14)/100/3.6*1000000</f>
        <v>403.29188030411444</v>
      </c>
      <c r="G10" s="34"/>
      <c r="H10" s="33"/>
      <c r="I10" s="33"/>
      <c r="J10" s="33">
        <f>$C$30*('E Balans VL '!D14+'E Balans VL '!E14)/100/3.6*1000000</f>
        <v>0</v>
      </c>
      <c r="K10" s="33"/>
      <c r="L10" s="33"/>
      <c r="M10" s="33"/>
      <c r="N10" s="33">
        <f>$C$30*'E Balans VL '!Y14/100/3.6*1000000</f>
        <v>936.56399204272259</v>
      </c>
      <c r="O10" s="33"/>
      <c r="P10" s="33"/>
      <c r="R10" s="32"/>
    </row>
    <row r="11" spans="1:18">
      <c r="A11" s="32" t="s">
        <v>55</v>
      </c>
      <c r="B11" s="37">
        <f t="shared" si="0"/>
        <v>116.2966075253606</v>
      </c>
      <c r="C11" s="33"/>
      <c r="D11" s="37">
        <f>IF(ISERROR(TER_onderwijs_gas_kWh/1000),0,TER_onderwijs_gas_kWh/1000)*0.902</f>
        <v>281.4378663943632</v>
      </c>
      <c r="E11" s="33">
        <f>$C$31*'E Balans VL '!I11/100/3.6*1000000</f>
        <v>0.10788039750453916</v>
      </c>
      <c r="F11" s="33">
        <f>$C$31*('E Balans VL '!L11+'E Balans VL '!N11)/100/3.6*1000000</f>
        <v>40.852325338305548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1032.71971473435</v>
      </c>
      <c r="C12" s="33"/>
      <c r="D12" s="37">
        <f>IF(ISERROR(TER_rest_gas_kWh/1000),0,TER_rest_gas_kWh/1000)*0.902</f>
        <v>3029.695440263642</v>
      </c>
      <c r="E12" s="33">
        <f>$C$32*'E Balans VL '!I8/100/3.6*1000000</f>
        <v>12.52637672808897</v>
      </c>
      <c r="F12" s="33">
        <f>$C$32*('E Balans VL '!L8+'E Balans VL '!N8)/100/3.6*1000000</f>
        <v>204.35597475199631</v>
      </c>
      <c r="G12" s="34"/>
      <c r="H12" s="33"/>
      <c r="I12" s="33"/>
      <c r="J12" s="33">
        <f>$C$32*('E Balans VL '!D8+'E Balans VL '!E8)/100/3.6*1000000</f>
        <v>0</v>
      </c>
      <c r="K12" s="33"/>
      <c r="L12" s="33"/>
      <c r="M12" s="33"/>
      <c r="N12" s="33">
        <f>$C$32*'E Balans VL '!Y8/100/3.6*1000000</f>
        <v>81.977538400381931</v>
      </c>
      <c r="O12" s="33"/>
      <c r="P12" s="33"/>
      <c r="R12" s="32"/>
    </row>
    <row r="13" spans="1:18">
      <c r="A13" s="16" t="s">
        <v>497</v>
      </c>
      <c r="B13" s="249">
        <f ca="1">'lokale energieproductie'!N91+'lokale energieproductie'!N60</f>
        <v>112.5</v>
      </c>
      <c r="C13" s="249">
        <f ca="1">'lokale energieproductie'!O91+'lokale energieproductie'!O60</f>
        <v>126.5625</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-281.25</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11295.976600201902</v>
      </c>
      <c r="C16" s="21">
        <f t="shared" ca="1" si="1"/>
        <v>126.5625</v>
      </c>
      <c r="D16" s="21">
        <f t="shared" ca="1" si="1"/>
        <v>11205.125853775153</v>
      </c>
      <c r="E16" s="21">
        <f t="shared" si="1"/>
        <v>162.43353183880214</v>
      </c>
      <c r="F16" s="21">
        <f t="shared" ca="1" si="1"/>
        <v>2260.4082734207336</v>
      </c>
      <c r="G16" s="21">
        <f t="shared" si="1"/>
        <v>0</v>
      </c>
      <c r="H16" s="21">
        <f t="shared" si="1"/>
        <v>0</v>
      </c>
      <c r="I16" s="21">
        <f t="shared" si="1"/>
        <v>0</v>
      </c>
      <c r="J16" s="21">
        <f t="shared" si="1"/>
        <v>0</v>
      </c>
      <c r="K16" s="21">
        <f t="shared" si="1"/>
        <v>0</v>
      </c>
      <c r="L16" s="21">
        <f t="shared" ca="1" si="1"/>
        <v>0</v>
      </c>
      <c r="M16" s="21">
        <f t="shared" si="1"/>
        <v>0</v>
      </c>
      <c r="N16" s="21">
        <f t="shared" ca="1" si="1"/>
        <v>1048.3385520464838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0.20245475232389559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2286.9241448503963</v>
      </c>
      <c r="C20" s="23">
        <f t="shared" ref="C20:P20" ca="1" si="2">C16*C18</f>
        <v>0</v>
      </c>
      <c r="D20" s="23">
        <f t="shared" ca="1" si="2"/>
        <v>2263.4354224625808</v>
      </c>
      <c r="E20" s="23">
        <f t="shared" si="2"/>
        <v>36.872411727408085</v>
      </c>
      <c r="F20" s="23">
        <f t="shared" ca="1" si="2"/>
        <v>603.52900900333589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1632.2783475469648</v>
      </c>
      <c r="C26" s="39">
        <f>IF(ISERROR(B26*3.6/1000000/'E Balans VL '!Z12*100),0,B26*3.6/1000000/'E Balans VL '!Z12*100)</f>
        <v>3.467040062748402E-2</v>
      </c>
      <c r="D26" s="239" t="s">
        <v>692</v>
      </c>
      <c r="F26" s="6"/>
    </row>
    <row r="27" spans="1:18">
      <c r="A27" s="233" t="s">
        <v>53</v>
      </c>
      <c r="B27" s="33">
        <f>IF(ISERROR(TER_horeca_ele_kWh/1000),0,TER_horeca_ele_kWh/1000)</f>
        <v>1346.3643273409909</v>
      </c>
      <c r="C27" s="39">
        <f>IF(ISERROR(B27*3.6/1000000/'E Balans VL '!Z9*100),0,B27*3.6/1000000/'E Balans VL '!Z9*100)</f>
        <v>0.10468802591493019</v>
      </c>
      <c r="D27" s="239" t="s">
        <v>692</v>
      </c>
      <c r="F27" s="6"/>
    </row>
    <row r="28" spans="1:18">
      <c r="A28" s="173" t="s">
        <v>52</v>
      </c>
      <c r="B28" s="33">
        <f>IF(ISERROR(TER_handel_ele_kWh/1000),0,TER_handel_ele_kWh/1000)</f>
        <v>4145.9742514453001</v>
      </c>
      <c r="C28" s="39">
        <f>IF(ISERROR(B28*3.6/1000000/'E Balans VL '!Z13*100),0,B28*3.6/1000000/'E Balans VL '!Z13*100)</f>
        <v>0.11862120265744046</v>
      </c>
      <c r="D28" s="239" t="s">
        <v>692</v>
      </c>
      <c r="F28" s="6"/>
    </row>
    <row r="29" spans="1:18">
      <c r="A29" s="233" t="s">
        <v>51</v>
      </c>
      <c r="B29" s="33">
        <f>IF(ISERROR(TER_gezond_ele_kWh/1000),0,TER_gezond_ele_kWh/1000)</f>
        <v>1564.33304432005</v>
      </c>
      <c r="C29" s="39">
        <f>IF(ISERROR(B29*3.6/1000000/'E Balans VL '!Z10*100),0,B29*3.6/1000000/'E Balans VL '!Z10*100)</f>
        <v>0.17054865257122481</v>
      </c>
      <c r="D29" s="239" t="s">
        <v>692</v>
      </c>
      <c r="F29" s="6"/>
    </row>
    <row r="30" spans="1:18">
      <c r="A30" s="233" t="s">
        <v>50</v>
      </c>
      <c r="B30" s="33">
        <f>IF(ISERROR(TER_ander_ele_kWh/1000),0,TER_ander_ele_kWh/1000)</f>
        <v>1345.5103072888851</v>
      </c>
      <c r="C30" s="39">
        <f>IF(ISERROR(B30*3.6/1000000/'E Balans VL '!Z14*100),0,B30*3.6/1000000/'E Balans VL '!Z14*100)</f>
        <v>9.8461392069622719E-2</v>
      </c>
      <c r="D30" s="239" t="s">
        <v>692</v>
      </c>
      <c r="F30" s="6"/>
    </row>
    <row r="31" spans="1:18">
      <c r="A31" s="233" t="s">
        <v>55</v>
      </c>
      <c r="B31" s="33">
        <f>IF(ISERROR(TER_onderwijs_ele_kWh/1000),0,TER_onderwijs_ele_kWh/1000)</f>
        <v>116.2966075253606</v>
      </c>
      <c r="C31" s="39">
        <f>IF(ISERROR(B31*3.6/1000000/'E Balans VL '!Z11*100),0,B31*3.6/1000000/'E Balans VL '!Z11*100)</f>
        <v>2.3358259980948072E-2</v>
      </c>
      <c r="D31" s="239" t="s">
        <v>692</v>
      </c>
    </row>
    <row r="32" spans="1:18">
      <c r="A32" s="233" t="s">
        <v>260</v>
      </c>
      <c r="B32" s="33">
        <f>IF(ISERROR(TER_rest_ele_kWh/1000),0,TER_rest_ele_kWh/1000)</f>
        <v>1032.71971473435</v>
      </c>
      <c r="C32" s="39">
        <f>IF(ISERROR(B32*3.6/1000000/'E Balans VL '!Z8*100),0,B32*3.6/1000000/'E Balans VL '!Z8*100)</f>
        <v>8.4160389493335101E-3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1662.8362284080549</v>
      </c>
      <c r="C5" s="17">
        <f>IF(ISERROR('Eigen informatie GS &amp; warmtenet'!B59),0,'Eigen informatie GS &amp; warmtenet'!B59)</f>
        <v>0</v>
      </c>
      <c r="D5" s="30">
        <f>SUM(D6:D15)</f>
        <v>954.60385680342483</v>
      </c>
      <c r="E5" s="17">
        <f>SUM(E6:E15)</f>
        <v>307.04588834890745</v>
      </c>
      <c r="F5" s="17">
        <f>SUM(F6:F15)</f>
        <v>1575.401358899936</v>
      </c>
      <c r="G5" s="18"/>
      <c r="H5" s="17"/>
      <c r="I5" s="17"/>
      <c r="J5" s="17">
        <f>SUM(J6:J15)</f>
        <v>0.30090918147254275</v>
      </c>
      <c r="K5" s="17"/>
      <c r="L5" s="17"/>
      <c r="M5" s="17"/>
      <c r="N5" s="17">
        <f>SUM(N6:N15)</f>
        <v>507.51679193064632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922.00755339166597</v>
      </c>
      <c r="C9" s="33"/>
      <c r="D9" s="37">
        <f>IF( ISERROR(IND_andere_gas_kWh/1000),0,IND_andere_gas_kWh/1000)*0.902</f>
        <v>237.41181806137683</v>
      </c>
      <c r="E9" s="33">
        <f>C31*'E Balans VL '!I19/100/3.6*1000000</f>
        <v>249.56477526611744</v>
      </c>
      <c r="F9" s="33">
        <f>C31*'E Balans VL '!L19/100/3.6*1000000+C31*'E Balans VL '!N19/100/3.6*1000000</f>
        <v>614.15459933916532</v>
      </c>
      <c r="G9" s="34"/>
      <c r="H9" s="33"/>
      <c r="I9" s="33"/>
      <c r="J9" s="40">
        <f>C31*'E Balans VL '!D19/100/3.6*1000000+C31*'E Balans VL '!E19/100/3.6*1000000</f>
        <v>0</v>
      </c>
      <c r="K9" s="33"/>
      <c r="L9" s="33"/>
      <c r="M9" s="33"/>
      <c r="N9" s="33">
        <f>C31*'E Balans VL '!Y19/100/3.6*1000000</f>
        <v>301.02015032571126</v>
      </c>
      <c r="O9" s="33"/>
      <c r="P9" s="33"/>
      <c r="R9" s="32"/>
    </row>
    <row r="10" spans="1:18">
      <c r="A10" s="6" t="s">
        <v>41</v>
      </c>
      <c r="B10" s="37">
        <f t="shared" si="0"/>
        <v>626.66088765329596</v>
      </c>
      <c r="C10" s="33"/>
      <c r="D10" s="37">
        <f>IF( ISERROR(IND_voed_gas_kWh/1000),0,IND_voed_gas_kWh/1000)*0.902</f>
        <v>0</v>
      </c>
      <c r="E10" s="33">
        <f>C32*'E Balans VL '!I20/100/3.6*1000000</f>
        <v>51.111901712928855</v>
      </c>
      <c r="F10" s="33">
        <f>C32*'E Balans VL '!L20/100/3.6*1000000+C32*'E Balans VL '!N20/100/3.6*1000000</f>
        <v>934.40823914855832</v>
      </c>
      <c r="G10" s="34"/>
      <c r="H10" s="33"/>
      <c r="I10" s="33"/>
      <c r="J10" s="40">
        <f>C32*'E Balans VL '!D20/100/3.6*1000000+C32*'E Balans VL '!E20/100/3.6*1000000</f>
        <v>8.2899628793790727E-3</v>
      </c>
      <c r="K10" s="33"/>
      <c r="L10" s="33"/>
      <c r="M10" s="33"/>
      <c r="N10" s="33">
        <f>C32*'E Balans VL '!Y20/100/3.6*1000000</f>
        <v>184.09085631415428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114.167787363093</v>
      </c>
      <c r="C15" s="33"/>
      <c r="D15" s="37">
        <f>IF( ISERROR(IND_rest_gas_kWh/1000),0,IND_rest_gas_kWh/1000)*0.902</f>
        <v>717.192038742048</v>
      </c>
      <c r="E15" s="33">
        <f>C37*'E Balans VL '!I15/100/3.6*1000000</f>
        <v>6.3692113698611372</v>
      </c>
      <c r="F15" s="33">
        <f>C37*'E Balans VL '!L15/100/3.6*1000000+C37*'E Balans VL '!N15/100/3.6*1000000</f>
        <v>26.838520412212308</v>
      </c>
      <c r="G15" s="34"/>
      <c r="H15" s="33"/>
      <c r="I15" s="33"/>
      <c r="J15" s="40">
        <f>C37*'E Balans VL '!D15/100/3.6*1000000+C37*'E Balans VL '!E15/100/3.6*1000000</f>
        <v>0.2926192185931637</v>
      </c>
      <c r="K15" s="33"/>
      <c r="L15" s="33"/>
      <c r="M15" s="33"/>
      <c r="N15" s="33">
        <f>C37*'E Balans VL '!Y15/100/3.6*1000000</f>
        <v>22.405785290780802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1662.8362284080549</v>
      </c>
      <c r="C18" s="21">
        <f>C5+C16</f>
        <v>0</v>
      </c>
      <c r="D18" s="21">
        <f>MAX((D5+D16),0)</f>
        <v>954.60385680342483</v>
      </c>
      <c r="E18" s="21">
        <f>MAX((E5+E16),0)</f>
        <v>307.04588834890745</v>
      </c>
      <c r="F18" s="21">
        <f>MAX((F5+F16),0)</f>
        <v>1575.401358899936</v>
      </c>
      <c r="G18" s="21"/>
      <c r="H18" s="21"/>
      <c r="I18" s="21"/>
      <c r="J18" s="21">
        <f>MAX((J5+J16),0)</f>
        <v>0.30090918147254275</v>
      </c>
      <c r="K18" s="21"/>
      <c r="L18" s="21">
        <f>MAX((L5+L16),0)</f>
        <v>0</v>
      </c>
      <c r="M18" s="21"/>
      <c r="N18" s="21">
        <f>MAX((N5+N16),0)</f>
        <v>507.51679193064632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0.20245475232389559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336.64909677755344</v>
      </c>
      <c r="C22" s="23">
        <f ca="1">C18*C20</f>
        <v>0</v>
      </c>
      <c r="D22" s="23">
        <f>D18*D20</f>
        <v>192.82997907429183</v>
      </c>
      <c r="E22" s="23">
        <f>E18*E20</f>
        <v>69.699416655202</v>
      </c>
      <c r="F22" s="23">
        <f>F18*F20</f>
        <v>420.63216282628292</v>
      </c>
      <c r="G22" s="23"/>
      <c r="H22" s="23"/>
      <c r="I22" s="23"/>
      <c r="J22" s="23">
        <f>J18*J20</f>
        <v>0.10652185024128012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922.00755339166597</v>
      </c>
      <c r="C31" s="39">
        <f>IF(ISERROR(B31*3.6/1000000/'E Balans VL '!Z19*100),0,B31*3.6/1000000/'E Balans VL '!Z19*100)</f>
        <v>4.015269347202665E-2</v>
      </c>
      <c r="D31" s="239" t="s">
        <v>692</v>
      </c>
    </row>
    <row r="32" spans="1:18">
      <c r="A32" s="173" t="s">
        <v>41</v>
      </c>
      <c r="B32" s="37">
        <f>IF( ISERROR(IND_voed_ele_kWh/1000),0,IND_voed_ele_kWh/1000)</f>
        <v>626.66088765329596</v>
      </c>
      <c r="C32" s="39">
        <f>IF(ISERROR(B32*3.6/1000000/'E Balans VL '!Z20*100),0,B32*3.6/1000000/'E Balans VL '!Z20*100)</f>
        <v>0.11889986599905771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114.167787363093</v>
      </c>
      <c r="C37" s="39">
        <f>IF(ISERROR(B37*3.6/1000000/'E Balans VL '!Z15*100),0,B37*3.6/1000000/'E Balans VL '!Z15*100)</f>
        <v>8.7980302858029044E-4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1841.4606169879498</v>
      </c>
      <c r="C5" s="17">
        <f>'Eigen informatie GS &amp; warmtenet'!B60</f>
        <v>0</v>
      </c>
      <c r="D5" s="30">
        <f>IF(ISERROR(SUM(LB_lb_gas_kWh,LB_rest_gas_kWh)/1000),0,SUM(LB_lb_gas_kWh,LB_rest_gas_kWh)/1000)*0.902</f>
        <v>14.422190904595583</v>
      </c>
      <c r="E5" s="17">
        <f>B17*'E Balans VL '!I25/3.6*1000000/100</f>
        <v>23.204776057656918</v>
      </c>
      <c r="F5" s="17">
        <f>B17*('E Balans VL '!L25/3.6*1000000+'E Balans VL '!N25/3.6*1000000)/100</f>
        <v>6353.5004420575915</v>
      </c>
      <c r="G5" s="18"/>
      <c r="H5" s="17"/>
      <c r="I5" s="17"/>
      <c r="J5" s="17">
        <f>('E Balans VL '!D25+'E Balans VL '!E25)/3.6*1000000*landbouw!B17/100</f>
        <v>276.93474380948754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1841.4606169879498</v>
      </c>
      <c r="C8" s="21">
        <f>C5+C6</f>
        <v>0</v>
      </c>
      <c r="D8" s="21">
        <f>MAX((D5+D6),0)</f>
        <v>14.422190904595583</v>
      </c>
      <c r="E8" s="21">
        <f>MAX((E5+E6),0)</f>
        <v>23.204776057656918</v>
      </c>
      <c r="F8" s="21">
        <f>MAX((F5+F6),0)</f>
        <v>6353.5004420575915</v>
      </c>
      <c r="G8" s="21"/>
      <c r="H8" s="21"/>
      <c r="I8" s="21"/>
      <c r="J8" s="21">
        <f>MAX((J5+J6),0)</f>
        <v>276.93474380948754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0.20245475232389559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372.81245312650333</v>
      </c>
      <c r="C12" s="23">
        <f ca="1">C8*C10</f>
        <v>0</v>
      </c>
      <c r="D12" s="23">
        <f>D8*D10</f>
        <v>2.9132825627283081</v>
      </c>
      <c r="E12" s="23">
        <f>E8*E10</f>
        <v>5.2674841650881206</v>
      </c>
      <c r="F12" s="23">
        <f>F8*F10</f>
        <v>1696.384618029377</v>
      </c>
      <c r="G12" s="23"/>
      <c r="H12" s="23"/>
      <c r="I12" s="23"/>
      <c r="J12" s="23">
        <f>J8*J10</f>
        <v>98.034899308558579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0.25682571660014802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8.9184538302552436</v>
      </c>
      <c r="C26" s="249">
        <f>B26*'GWP N2O_CH4'!B5</f>
        <v>187.28753043536011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2.1890680066856234</v>
      </c>
      <c r="C27" s="249">
        <f>B27*'GWP N2O_CH4'!B5</f>
        <v>45.970428140398091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0.19774721905381959</v>
      </c>
      <c r="C28" s="249">
        <f>B28*'GWP N2O_CH4'!B4</f>
        <v>61.301637906684071</v>
      </c>
      <c r="D28" s="50"/>
    </row>
    <row r="29" spans="1:4">
      <c r="A29" s="41" t="s">
        <v>277</v>
      </c>
      <c r="B29" s="249">
        <f>B34*'ha_N2O bodem landbouw'!B4</f>
        <v>1.6261583945002271</v>
      </c>
      <c r="C29" s="249">
        <f>B29*'GWP N2O_CH4'!B4</f>
        <v>504.10910229507044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4.0603550207851506E-4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7.8133171170810055E-6</v>
      </c>
      <c r="C5" s="448" t="s">
        <v>211</v>
      </c>
      <c r="D5" s="433">
        <f>SUM(D6:D11)</f>
        <v>1.8797396706909628E-5</v>
      </c>
      <c r="E5" s="433">
        <f>SUM(E6:E11)</f>
        <v>5.46670112787393E-4</v>
      </c>
      <c r="F5" s="446" t="s">
        <v>211</v>
      </c>
      <c r="G5" s="433">
        <f>SUM(G6:G11)</f>
        <v>0.10904587469903827</v>
      </c>
      <c r="H5" s="433">
        <f>SUM(H6:H11)</f>
        <v>2.7501298344331942E-2</v>
      </c>
      <c r="I5" s="448" t="s">
        <v>211</v>
      </c>
      <c r="J5" s="448" t="s">
        <v>211</v>
      </c>
      <c r="K5" s="448" t="s">
        <v>211</v>
      </c>
      <c r="L5" s="448" t="s">
        <v>211</v>
      </c>
      <c r="M5" s="433">
        <f>SUM(M6:M11)</f>
        <v>6.1769799810835451E-3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8.2710071303001666E-7</v>
      </c>
      <c r="C6" s="887"/>
      <c r="D6" s="887">
        <f>vkm_2011_GW_PW*SUMIFS(TableVerdeelsleutelVkm[CNG],TableVerdeelsleutelVkm[Voertuigtype],"Lichte voertuigen")*SUMIFS(TableECFTransport[EnergieConsumptieFactor (PJ per km)],TableECFTransport[Index],CONCATENATE($A6,"_CNG_CNG"))</f>
        <v>1.1713363745161668E-6</v>
      </c>
      <c r="E6" s="887">
        <f>vkm_2011_GW_PW*SUMIFS(TableVerdeelsleutelVkm[LPG],TableVerdeelsleutelVkm[Voertuigtype],"Lichte voertuigen")*SUMIFS(TableECFTransport[EnergieConsumptieFactor (PJ per km)],TableECFTransport[Index],CONCATENATE($A6,"_LPG_LPG"))</f>
        <v>3.678781938240497E-5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6.6117784685319194E-3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1.7716792429963884E-3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3.7929441431941262E-4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2.3734949852768751E-3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8.4327816281008041E-7</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1.0710831709202295E-4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6.9862164040509896E-6</v>
      </c>
      <c r="C8" s="887"/>
      <c r="D8" s="436">
        <f>vkm_2011_NGW_PW*SUMIFS(TableVerdeelsleutelVkm[CNG],TableVerdeelsleutelVkm[Voertuigtype],"Lichte voertuigen")*SUMIFS(TableECFTransport[EnergieConsumptieFactor (PJ per km)],TableECFTransport[Index],CONCATENATE($A8,"_CNG_CNG"))</f>
        <v>1.7626060332393463E-5</v>
      </c>
      <c r="E8" s="436">
        <f>vkm_2011_NGW_PW*SUMIFS(TableVerdeelsleutelVkm[LPG],TableVerdeelsleutelVkm[Voertuigtype],"Lichte voertuigen")*SUMIFS(TableECFTransport[EnergieConsumptieFactor (PJ per km)],TableECFTransport[Index],CONCATENATE($A8,"_LPG_LPG"))</f>
        <v>5.0988229340498804E-4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8.6429993059009419E-2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2.572419311215831E-2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5.0754829367306792E-3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1.3630608186220059E-2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4.5827110144357016E-6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6.1509431294143064E-4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2.1703658658558349</v>
      </c>
      <c r="C14" s="21"/>
      <c r="D14" s="21">
        <f t="shared" ref="D14:M14" si="0">((D5)*10^9/3600)+D12</f>
        <v>5.2214990852526748</v>
      </c>
      <c r="E14" s="21">
        <f t="shared" si="0"/>
        <v>151.85280910760918</v>
      </c>
      <c r="F14" s="21"/>
      <c r="G14" s="21">
        <f t="shared" si="0"/>
        <v>30290.520749732852</v>
      </c>
      <c r="H14" s="21">
        <f t="shared" si="0"/>
        <v>7639.2495400922062</v>
      </c>
      <c r="I14" s="21"/>
      <c r="J14" s="21"/>
      <c r="K14" s="21"/>
      <c r="L14" s="21"/>
      <c r="M14" s="21">
        <f t="shared" si="0"/>
        <v>1715.8277725232069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0.20245475232389559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0.43940088382408027</v>
      </c>
      <c r="C18" s="23"/>
      <c r="D18" s="23">
        <f t="shared" ref="D18:M18" si="1">D14*D16</f>
        <v>1.0547428152210403</v>
      </c>
      <c r="E18" s="23">
        <f t="shared" si="1"/>
        <v>34.470587667427282</v>
      </c>
      <c r="F18" s="23"/>
      <c r="G18" s="23">
        <f t="shared" si="1"/>
        <v>8087.5690401786724</v>
      </c>
      <c r="H18" s="23">
        <f t="shared" si="1"/>
        <v>1902.1731354829594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3.0015636277804115E-3</v>
      </c>
      <c r="H50" s="323">
        <f t="shared" si="2"/>
        <v>0</v>
      </c>
      <c r="I50" s="323">
        <f t="shared" si="2"/>
        <v>0</v>
      </c>
      <c r="J50" s="323">
        <f t="shared" si="2"/>
        <v>0</v>
      </c>
      <c r="K50" s="323">
        <f t="shared" si="2"/>
        <v>0</v>
      </c>
      <c r="L50" s="323">
        <f t="shared" si="2"/>
        <v>0</v>
      </c>
      <c r="M50" s="323">
        <f t="shared" si="2"/>
        <v>1.3348687610103286E-4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3.0015636277804115E-3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1.3348687610103286E-4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833.76767438344757</v>
      </c>
      <c r="H54" s="21">
        <f t="shared" si="3"/>
        <v>0</v>
      </c>
      <c r="I54" s="21">
        <f t="shared" si="3"/>
        <v>0</v>
      </c>
      <c r="J54" s="21">
        <f t="shared" si="3"/>
        <v>0</v>
      </c>
      <c r="K54" s="21">
        <f t="shared" si="3"/>
        <v>0</v>
      </c>
      <c r="L54" s="21">
        <f t="shared" si="3"/>
        <v>0</v>
      </c>
      <c r="M54" s="21">
        <f t="shared" si="3"/>
        <v>37.079687805842461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0.20245475232389559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222.61596906038051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12261.988600201903</v>
      </c>
      <c r="D10" s="690">
        <f ca="1">tertiair!C16</f>
        <v>126.5625</v>
      </c>
      <c r="E10" s="690">
        <f ca="1">tertiair!D16</f>
        <v>11205.125853775153</v>
      </c>
      <c r="F10" s="690">
        <f>tertiair!E16</f>
        <v>162.43353183880214</v>
      </c>
      <c r="G10" s="690">
        <f ca="1">tertiair!F16</f>
        <v>2260.4082734207336</v>
      </c>
      <c r="H10" s="690">
        <f>tertiair!G16</f>
        <v>0</v>
      </c>
      <c r="I10" s="690">
        <f>tertiair!H16</f>
        <v>0</v>
      </c>
      <c r="J10" s="690">
        <f>tertiair!I16</f>
        <v>0</v>
      </c>
      <c r="K10" s="690">
        <f>tertiair!J16</f>
        <v>0</v>
      </c>
      <c r="L10" s="690">
        <f>tertiair!K16</f>
        <v>0</v>
      </c>
      <c r="M10" s="690">
        <f ca="1">tertiair!L16</f>
        <v>0</v>
      </c>
      <c r="N10" s="690">
        <f>tertiair!M16</f>
        <v>0</v>
      </c>
      <c r="O10" s="690">
        <f ca="1">tertiair!N16</f>
        <v>1048.3385520464838</v>
      </c>
      <c r="P10" s="690">
        <f>tertiair!O16</f>
        <v>0</v>
      </c>
      <c r="Q10" s="691">
        <f>tertiair!P16</f>
        <v>19.066666666666666</v>
      </c>
      <c r="R10" s="693">
        <f ca="1">SUM(C10:Q10)</f>
        <v>27083.92397794974</v>
      </c>
      <c r="S10" s="67"/>
    </row>
    <row r="11" spans="1:19" s="458" customFormat="1">
      <c r="A11" s="805" t="s">
        <v>225</v>
      </c>
      <c r="B11" s="810"/>
      <c r="C11" s="690">
        <f>huishoudens!B8</f>
        <v>29187.577299314296</v>
      </c>
      <c r="D11" s="690">
        <f>huishoudens!C8</f>
        <v>0</v>
      </c>
      <c r="E11" s="690">
        <f>huishoudens!D8</f>
        <v>30666.376870953503</v>
      </c>
      <c r="F11" s="690">
        <f>huishoudens!E8</f>
        <v>12347.680513892677</v>
      </c>
      <c r="G11" s="690">
        <f>huishoudens!F8</f>
        <v>60589.891520054487</v>
      </c>
      <c r="H11" s="690">
        <f>huishoudens!G8</f>
        <v>0</v>
      </c>
      <c r="I11" s="690">
        <f>huishoudens!H8</f>
        <v>0</v>
      </c>
      <c r="J11" s="690">
        <f>huishoudens!I8</f>
        <v>0</v>
      </c>
      <c r="K11" s="690">
        <f>huishoudens!J8</f>
        <v>0</v>
      </c>
      <c r="L11" s="690">
        <f>huishoudens!K8</f>
        <v>0</v>
      </c>
      <c r="M11" s="690">
        <f>huishoudens!L8</f>
        <v>0</v>
      </c>
      <c r="N11" s="690">
        <f>huishoudens!M8</f>
        <v>0</v>
      </c>
      <c r="O11" s="690">
        <f>huishoudens!N8</f>
        <v>8432.7759736665121</v>
      </c>
      <c r="P11" s="690">
        <f>huishoudens!O8</f>
        <v>164.15</v>
      </c>
      <c r="Q11" s="691">
        <f>huishoudens!P8</f>
        <v>305.06666666666666</v>
      </c>
      <c r="R11" s="693">
        <f>SUM(C11:Q11)</f>
        <v>141693.51884454815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1662.8362284080549</v>
      </c>
      <c r="D13" s="690">
        <f>industrie!C18</f>
        <v>0</v>
      </c>
      <c r="E13" s="690">
        <f>industrie!D18</f>
        <v>954.60385680342483</v>
      </c>
      <c r="F13" s="690">
        <f>industrie!E18</f>
        <v>307.04588834890745</v>
      </c>
      <c r="G13" s="690">
        <f>industrie!F18</f>
        <v>1575.401358899936</v>
      </c>
      <c r="H13" s="690">
        <f>industrie!G18</f>
        <v>0</v>
      </c>
      <c r="I13" s="690">
        <f>industrie!H18</f>
        <v>0</v>
      </c>
      <c r="J13" s="690">
        <f>industrie!I18</f>
        <v>0</v>
      </c>
      <c r="K13" s="690">
        <f>industrie!J18</f>
        <v>0.30090918147254275</v>
      </c>
      <c r="L13" s="690">
        <f>industrie!K18</f>
        <v>0</v>
      </c>
      <c r="M13" s="690">
        <f>industrie!L18</f>
        <v>0</v>
      </c>
      <c r="N13" s="690">
        <f>industrie!M18</f>
        <v>0</v>
      </c>
      <c r="O13" s="690">
        <f>industrie!N18</f>
        <v>507.51679193064632</v>
      </c>
      <c r="P13" s="690">
        <f>industrie!O18</f>
        <v>0</v>
      </c>
      <c r="Q13" s="691">
        <f>industrie!P18</f>
        <v>0</v>
      </c>
      <c r="R13" s="693">
        <f>SUM(C13:Q13)</f>
        <v>5007.7050335724416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43112.402127924259</v>
      </c>
      <c r="D16" s="725">
        <f t="shared" ref="D16:R16" ca="1" si="0">SUM(D9:D15)</f>
        <v>126.5625</v>
      </c>
      <c r="E16" s="725">
        <f t="shared" ca="1" si="0"/>
        <v>42826.106581532084</v>
      </c>
      <c r="F16" s="725">
        <f t="shared" si="0"/>
        <v>12817.159934080388</v>
      </c>
      <c r="G16" s="725">
        <f t="shared" ca="1" si="0"/>
        <v>64425.701152375157</v>
      </c>
      <c r="H16" s="725">
        <f t="shared" si="0"/>
        <v>0</v>
      </c>
      <c r="I16" s="725">
        <f t="shared" si="0"/>
        <v>0</v>
      </c>
      <c r="J16" s="725">
        <f t="shared" si="0"/>
        <v>0</v>
      </c>
      <c r="K16" s="725">
        <f t="shared" si="0"/>
        <v>0.30090918147254275</v>
      </c>
      <c r="L16" s="725">
        <f t="shared" si="0"/>
        <v>0</v>
      </c>
      <c r="M16" s="725">
        <f t="shared" ca="1" si="0"/>
        <v>0</v>
      </c>
      <c r="N16" s="725">
        <f t="shared" si="0"/>
        <v>0</v>
      </c>
      <c r="O16" s="725">
        <f t="shared" ca="1" si="0"/>
        <v>9988.6313176436415</v>
      </c>
      <c r="P16" s="725">
        <f t="shared" si="0"/>
        <v>164.15</v>
      </c>
      <c r="Q16" s="725">
        <f t="shared" si="0"/>
        <v>324.13333333333333</v>
      </c>
      <c r="R16" s="725">
        <f t="shared" ca="1" si="0"/>
        <v>173785.14785607034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833.76767438344757</v>
      </c>
      <c r="I19" s="690">
        <f>transport!H54</f>
        <v>0</v>
      </c>
      <c r="J19" s="690">
        <f>transport!I54</f>
        <v>0</v>
      </c>
      <c r="K19" s="690">
        <f>transport!J54</f>
        <v>0</v>
      </c>
      <c r="L19" s="690">
        <f>transport!K54</f>
        <v>0</v>
      </c>
      <c r="M19" s="690">
        <f>transport!L54</f>
        <v>0</v>
      </c>
      <c r="N19" s="690">
        <f>transport!M54</f>
        <v>37.079687805842461</v>
      </c>
      <c r="O19" s="690">
        <f>transport!N54</f>
        <v>0</v>
      </c>
      <c r="P19" s="690">
        <f>transport!O54</f>
        <v>0</v>
      </c>
      <c r="Q19" s="691">
        <f>transport!P54</f>
        <v>0</v>
      </c>
      <c r="R19" s="693">
        <f>SUM(C19:Q19)</f>
        <v>870.84736218929004</v>
      </c>
      <c r="S19" s="67"/>
    </row>
    <row r="20" spans="1:19" s="458" customFormat="1">
      <c r="A20" s="805" t="s">
        <v>307</v>
      </c>
      <c r="B20" s="810"/>
      <c r="C20" s="690">
        <f>transport!B14</f>
        <v>2.1703658658558349</v>
      </c>
      <c r="D20" s="690">
        <f>transport!C14</f>
        <v>0</v>
      </c>
      <c r="E20" s="690">
        <f>transport!D14</f>
        <v>5.2214990852526748</v>
      </c>
      <c r="F20" s="690">
        <f>transport!E14</f>
        <v>151.85280910760918</v>
      </c>
      <c r="G20" s="690">
        <f>transport!F14</f>
        <v>0</v>
      </c>
      <c r="H20" s="690">
        <f>transport!G14</f>
        <v>30290.520749732852</v>
      </c>
      <c r="I20" s="690">
        <f>transport!H14</f>
        <v>7639.2495400922062</v>
      </c>
      <c r="J20" s="690">
        <f>transport!I14</f>
        <v>0</v>
      </c>
      <c r="K20" s="690">
        <f>transport!J14</f>
        <v>0</v>
      </c>
      <c r="L20" s="690">
        <f>transport!K14</f>
        <v>0</v>
      </c>
      <c r="M20" s="690">
        <f>transport!L14</f>
        <v>0</v>
      </c>
      <c r="N20" s="690">
        <f>transport!M14</f>
        <v>1715.8277725232069</v>
      </c>
      <c r="O20" s="690">
        <f>transport!N14</f>
        <v>0</v>
      </c>
      <c r="P20" s="690">
        <f>transport!O14</f>
        <v>0</v>
      </c>
      <c r="Q20" s="691">
        <f>transport!P14</f>
        <v>0</v>
      </c>
      <c r="R20" s="693">
        <f>SUM(C20:Q20)</f>
        <v>39804.842736406979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2.1703658658558349</v>
      </c>
      <c r="D22" s="808">
        <f t="shared" ref="D22:R22" si="1">SUM(D18:D21)</f>
        <v>0</v>
      </c>
      <c r="E22" s="808">
        <f t="shared" si="1"/>
        <v>5.2214990852526748</v>
      </c>
      <c r="F22" s="808">
        <f t="shared" si="1"/>
        <v>151.85280910760918</v>
      </c>
      <c r="G22" s="808">
        <f t="shared" si="1"/>
        <v>0</v>
      </c>
      <c r="H22" s="808">
        <f t="shared" si="1"/>
        <v>31124.288424116301</v>
      </c>
      <c r="I22" s="808">
        <f t="shared" si="1"/>
        <v>7639.2495400922062</v>
      </c>
      <c r="J22" s="808">
        <f t="shared" si="1"/>
        <v>0</v>
      </c>
      <c r="K22" s="808">
        <f t="shared" si="1"/>
        <v>0</v>
      </c>
      <c r="L22" s="808">
        <f t="shared" si="1"/>
        <v>0</v>
      </c>
      <c r="M22" s="808">
        <f t="shared" si="1"/>
        <v>0</v>
      </c>
      <c r="N22" s="808">
        <f t="shared" si="1"/>
        <v>1752.9074603290494</v>
      </c>
      <c r="O22" s="808">
        <f t="shared" si="1"/>
        <v>0</v>
      </c>
      <c r="P22" s="808">
        <f t="shared" si="1"/>
        <v>0</v>
      </c>
      <c r="Q22" s="808">
        <f t="shared" si="1"/>
        <v>0</v>
      </c>
      <c r="R22" s="808">
        <f t="shared" si="1"/>
        <v>40675.690098596271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1841.4606169879498</v>
      </c>
      <c r="D24" s="690">
        <f>+landbouw!C8</f>
        <v>0</v>
      </c>
      <c r="E24" s="690">
        <f>+landbouw!D8</f>
        <v>14.422190904595583</v>
      </c>
      <c r="F24" s="690">
        <f>+landbouw!E8</f>
        <v>23.204776057656918</v>
      </c>
      <c r="G24" s="690">
        <f>+landbouw!F8</f>
        <v>6353.5004420575915</v>
      </c>
      <c r="H24" s="690">
        <f>+landbouw!G8</f>
        <v>0</v>
      </c>
      <c r="I24" s="690">
        <f>+landbouw!H8</f>
        <v>0</v>
      </c>
      <c r="J24" s="690">
        <f>+landbouw!I8</f>
        <v>0</v>
      </c>
      <c r="K24" s="690">
        <f>+landbouw!J8</f>
        <v>276.93474380948754</v>
      </c>
      <c r="L24" s="690">
        <f>+landbouw!K8</f>
        <v>0</v>
      </c>
      <c r="M24" s="690">
        <f>+landbouw!L8</f>
        <v>0</v>
      </c>
      <c r="N24" s="690">
        <f>+landbouw!M8</f>
        <v>0</v>
      </c>
      <c r="O24" s="690">
        <f>+landbouw!N8</f>
        <v>0</v>
      </c>
      <c r="P24" s="690">
        <f>+landbouw!O8</f>
        <v>0</v>
      </c>
      <c r="Q24" s="691">
        <f>+landbouw!P8</f>
        <v>0</v>
      </c>
      <c r="R24" s="693">
        <f>SUM(C24:Q24)</f>
        <v>8509.5227698172821</v>
      </c>
      <c r="S24" s="67"/>
    </row>
    <row r="25" spans="1:19" s="458" customFormat="1" ht="15" thickBot="1">
      <c r="A25" s="827" t="s">
        <v>872</v>
      </c>
      <c r="B25" s="1004"/>
      <c r="C25" s="1005">
        <f>IF(Onbekend_ele_kWh="---",0,Onbekend_ele_kWh)/1000+IF(REST_rest_ele_kWh="---",0,REST_rest_ele_kWh)/1000</f>
        <v>812.69992661736899</v>
      </c>
      <c r="D25" s="1005"/>
      <c r="E25" s="1005">
        <f>IF(onbekend_gas_kWh="---",0,onbekend_gas_kWh)/1000+IF(REST_rest_gas_kWh="---",0,REST_rest_gas_kWh)/1000</f>
        <v>1793.24621647307</v>
      </c>
      <c r="F25" s="1005"/>
      <c r="G25" s="1005"/>
      <c r="H25" s="1005"/>
      <c r="I25" s="1005"/>
      <c r="J25" s="1005"/>
      <c r="K25" s="1005"/>
      <c r="L25" s="1005"/>
      <c r="M25" s="1005"/>
      <c r="N25" s="1005"/>
      <c r="O25" s="1005"/>
      <c r="P25" s="1005"/>
      <c r="Q25" s="1006"/>
      <c r="R25" s="693">
        <f>SUM(C25:Q25)</f>
        <v>2605.9461430904389</v>
      </c>
      <c r="S25" s="67"/>
    </row>
    <row r="26" spans="1:19" s="458" customFormat="1" ht="15.75" thickBot="1">
      <c r="A26" s="698" t="s">
        <v>873</v>
      </c>
      <c r="B26" s="813"/>
      <c r="C26" s="808">
        <f>SUM(C24:C25)</f>
        <v>2654.1605436053187</v>
      </c>
      <c r="D26" s="808">
        <f t="shared" ref="D26:R26" si="2">SUM(D24:D25)</f>
        <v>0</v>
      </c>
      <c r="E26" s="808">
        <f t="shared" si="2"/>
        <v>1807.6684073776655</v>
      </c>
      <c r="F26" s="808">
        <f t="shared" si="2"/>
        <v>23.204776057656918</v>
      </c>
      <c r="G26" s="808">
        <f t="shared" si="2"/>
        <v>6353.5004420575915</v>
      </c>
      <c r="H26" s="808">
        <f t="shared" si="2"/>
        <v>0</v>
      </c>
      <c r="I26" s="808">
        <f t="shared" si="2"/>
        <v>0</v>
      </c>
      <c r="J26" s="808">
        <f t="shared" si="2"/>
        <v>0</v>
      </c>
      <c r="K26" s="808">
        <f t="shared" si="2"/>
        <v>276.93474380948754</v>
      </c>
      <c r="L26" s="808">
        <f t="shared" si="2"/>
        <v>0</v>
      </c>
      <c r="M26" s="808">
        <f t="shared" si="2"/>
        <v>0</v>
      </c>
      <c r="N26" s="808">
        <f t="shared" si="2"/>
        <v>0</v>
      </c>
      <c r="O26" s="808">
        <f t="shared" si="2"/>
        <v>0</v>
      </c>
      <c r="P26" s="808">
        <f t="shared" si="2"/>
        <v>0</v>
      </c>
      <c r="Q26" s="808">
        <f t="shared" si="2"/>
        <v>0</v>
      </c>
      <c r="R26" s="808">
        <f t="shared" si="2"/>
        <v>11115.468912907721</v>
      </c>
      <c r="S26" s="67"/>
    </row>
    <row r="27" spans="1:19" s="458" customFormat="1" ht="17.25" thickTop="1" thickBot="1">
      <c r="A27" s="699" t="s">
        <v>116</v>
      </c>
      <c r="B27" s="800"/>
      <c r="C27" s="700">
        <f ca="1">C22+C16+C26</f>
        <v>45768.733037395439</v>
      </c>
      <c r="D27" s="700">
        <f t="shared" ref="D27:R27" ca="1" si="3">D22+D16+D26</f>
        <v>126.5625</v>
      </c>
      <c r="E27" s="700">
        <f t="shared" ca="1" si="3"/>
        <v>44638.996487994998</v>
      </c>
      <c r="F27" s="700">
        <f t="shared" si="3"/>
        <v>12992.217519245654</v>
      </c>
      <c r="G27" s="700">
        <f t="shared" ca="1" si="3"/>
        <v>70779.201594432743</v>
      </c>
      <c r="H27" s="700">
        <f t="shared" si="3"/>
        <v>31124.288424116301</v>
      </c>
      <c r="I27" s="700">
        <f t="shared" si="3"/>
        <v>7639.2495400922062</v>
      </c>
      <c r="J27" s="700">
        <f t="shared" si="3"/>
        <v>0</v>
      </c>
      <c r="K27" s="700">
        <f t="shared" si="3"/>
        <v>277.23565299096009</v>
      </c>
      <c r="L27" s="700">
        <f t="shared" si="3"/>
        <v>0</v>
      </c>
      <c r="M27" s="700">
        <f t="shared" ca="1" si="3"/>
        <v>0</v>
      </c>
      <c r="N27" s="700">
        <f t="shared" si="3"/>
        <v>1752.9074603290494</v>
      </c>
      <c r="O27" s="700">
        <f t="shared" ca="1" si="3"/>
        <v>9988.6313176436415</v>
      </c>
      <c r="P27" s="700">
        <f t="shared" si="3"/>
        <v>164.15</v>
      </c>
      <c r="Q27" s="700">
        <f t="shared" si="3"/>
        <v>324.13333333333333</v>
      </c>
      <c r="R27" s="700">
        <f t="shared" ca="1" si="3"/>
        <v>225576.30686757434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2482.4978650523071</v>
      </c>
      <c r="D40" s="690">
        <f ca="1">tertiair!C20</f>
        <v>0</v>
      </c>
      <c r="E40" s="690">
        <f ca="1">tertiair!D20</f>
        <v>2263.4354224625808</v>
      </c>
      <c r="F40" s="690">
        <f>tertiair!E20</f>
        <v>36.872411727408085</v>
      </c>
      <c r="G40" s="690">
        <f ca="1">tertiair!F20</f>
        <v>603.52900900333589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5386.3347082456321</v>
      </c>
    </row>
    <row r="41" spans="1:18">
      <c r="A41" s="818" t="s">
        <v>225</v>
      </c>
      <c r="B41" s="825"/>
      <c r="C41" s="690">
        <f ca="1">huishoudens!B12</f>
        <v>5909.1637330672329</v>
      </c>
      <c r="D41" s="690">
        <f ca="1">huishoudens!C12</f>
        <v>0</v>
      </c>
      <c r="E41" s="690">
        <f>huishoudens!D12</f>
        <v>6194.6081279326081</v>
      </c>
      <c r="F41" s="690">
        <f>huishoudens!E12</f>
        <v>2802.9234766536379</v>
      </c>
      <c r="G41" s="690">
        <f>huishoudens!F12</f>
        <v>16177.50103585455</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31084.196373508028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336.64909677755344</v>
      </c>
      <c r="D43" s="690">
        <f ca="1">industrie!C22</f>
        <v>0</v>
      </c>
      <c r="E43" s="690">
        <f>industrie!D22</f>
        <v>192.82997907429183</v>
      </c>
      <c r="F43" s="690">
        <f>industrie!E22</f>
        <v>69.699416655202</v>
      </c>
      <c r="G43" s="690">
        <f>industrie!F22</f>
        <v>420.63216282628292</v>
      </c>
      <c r="H43" s="690">
        <f>industrie!G22</f>
        <v>0</v>
      </c>
      <c r="I43" s="690">
        <f>industrie!H22</f>
        <v>0</v>
      </c>
      <c r="J43" s="690">
        <f>industrie!I22</f>
        <v>0</v>
      </c>
      <c r="K43" s="690">
        <f>industrie!J22</f>
        <v>0.10652185024128012</v>
      </c>
      <c r="L43" s="690">
        <f>industrie!K22</f>
        <v>0</v>
      </c>
      <c r="M43" s="690">
        <f>industrie!L22</f>
        <v>0</v>
      </c>
      <c r="N43" s="690">
        <f>industrie!M22</f>
        <v>0</v>
      </c>
      <c r="O43" s="690">
        <f>industrie!N22</f>
        <v>0</v>
      </c>
      <c r="P43" s="690">
        <f>industrie!O22</f>
        <v>0</v>
      </c>
      <c r="Q43" s="767">
        <f>industrie!P22</f>
        <v>0</v>
      </c>
      <c r="R43" s="845">
        <f t="shared" ca="1" si="4"/>
        <v>1019.9171771835713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8728.3106948970926</v>
      </c>
      <c r="D46" s="725">
        <f t="shared" ref="D46:Q46" ca="1" si="5">SUM(D39:D45)</f>
        <v>0</v>
      </c>
      <c r="E46" s="725">
        <f t="shared" ca="1" si="5"/>
        <v>8650.8735294694798</v>
      </c>
      <c r="F46" s="725">
        <f t="shared" si="5"/>
        <v>2909.4953050362483</v>
      </c>
      <c r="G46" s="725">
        <f t="shared" ca="1" si="5"/>
        <v>17201.662207684167</v>
      </c>
      <c r="H46" s="725">
        <f t="shared" si="5"/>
        <v>0</v>
      </c>
      <c r="I46" s="725">
        <f t="shared" si="5"/>
        <v>0</v>
      </c>
      <c r="J46" s="725">
        <f t="shared" si="5"/>
        <v>0</v>
      </c>
      <c r="K46" s="725">
        <f t="shared" si="5"/>
        <v>0.10652185024128012</v>
      </c>
      <c r="L46" s="725">
        <f t="shared" si="5"/>
        <v>0</v>
      </c>
      <c r="M46" s="725">
        <f t="shared" ca="1" si="5"/>
        <v>0</v>
      </c>
      <c r="N46" s="725">
        <f t="shared" si="5"/>
        <v>0</v>
      </c>
      <c r="O46" s="725">
        <f t="shared" ca="1" si="5"/>
        <v>0</v>
      </c>
      <c r="P46" s="725">
        <f t="shared" si="5"/>
        <v>0</v>
      </c>
      <c r="Q46" s="725">
        <f t="shared" si="5"/>
        <v>0</v>
      </c>
      <c r="R46" s="725">
        <f ca="1">SUM(R39:R45)</f>
        <v>37490.448258937227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222.61596906038051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222.61596906038051</v>
      </c>
    </row>
    <row r="50" spans="1:18">
      <c r="A50" s="821" t="s">
        <v>307</v>
      </c>
      <c r="B50" s="831"/>
      <c r="C50" s="696">
        <f ca="1">transport!B18</f>
        <v>0.43940088382408027</v>
      </c>
      <c r="D50" s="696">
        <f>transport!C18</f>
        <v>0</v>
      </c>
      <c r="E50" s="696">
        <f>transport!D18</f>
        <v>1.0547428152210403</v>
      </c>
      <c r="F50" s="696">
        <f>transport!E18</f>
        <v>34.470587667427282</v>
      </c>
      <c r="G50" s="696">
        <f>transport!F18</f>
        <v>0</v>
      </c>
      <c r="H50" s="696">
        <f>transport!G18</f>
        <v>8087.5690401786724</v>
      </c>
      <c r="I50" s="696">
        <f>transport!H18</f>
        <v>1902.1731354829594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10025.706907028105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0.43940088382408027</v>
      </c>
      <c r="D52" s="725">
        <f t="shared" ref="D52:Q52" ca="1" si="6">SUM(D48:D51)</f>
        <v>0</v>
      </c>
      <c r="E52" s="725">
        <f t="shared" si="6"/>
        <v>1.0547428152210403</v>
      </c>
      <c r="F52" s="725">
        <f t="shared" si="6"/>
        <v>34.470587667427282</v>
      </c>
      <c r="G52" s="725">
        <f t="shared" si="6"/>
        <v>0</v>
      </c>
      <c r="H52" s="725">
        <f t="shared" si="6"/>
        <v>8310.1850092390523</v>
      </c>
      <c r="I52" s="725">
        <f t="shared" si="6"/>
        <v>1902.1731354829594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10248.322876088485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372.81245312650333</v>
      </c>
      <c r="D54" s="696">
        <f ca="1">+landbouw!C12</f>
        <v>0</v>
      </c>
      <c r="E54" s="696">
        <f>+landbouw!D12</f>
        <v>2.9132825627283081</v>
      </c>
      <c r="F54" s="696">
        <f>+landbouw!E12</f>
        <v>5.2674841650881206</v>
      </c>
      <c r="G54" s="696">
        <f>+landbouw!F12</f>
        <v>1696.384618029377</v>
      </c>
      <c r="H54" s="696">
        <f>+landbouw!G12</f>
        <v>0</v>
      </c>
      <c r="I54" s="696">
        <f>+landbouw!H12</f>
        <v>0</v>
      </c>
      <c r="J54" s="696">
        <f>+landbouw!I12</f>
        <v>0</v>
      </c>
      <c r="K54" s="696">
        <f>+landbouw!J12</f>
        <v>98.034899308558579</v>
      </c>
      <c r="L54" s="696">
        <f>+landbouw!K12</f>
        <v>0</v>
      </c>
      <c r="M54" s="696">
        <f>+landbouw!L12</f>
        <v>0</v>
      </c>
      <c r="N54" s="696">
        <f>+landbouw!M12</f>
        <v>0</v>
      </c>
      <c r="O54" s="696">
        <f>+landbouw!N12</f>
        <v>0</v>
      </c>
      <c r="P54" s="696">
        <f>+landbouw!O12</f>
        <v>0</v>
      </c>
      <c r="Q54" s="697">
        <f>+landbouw!P12</f>
        <v>0</v>
      </c>
      <c r="R54" s="724">
        <f ca="1">SUM(C54:Q54)</f>
        <v>2175.4127371922555</v>
      </c>
    </row>
    <row r="55" spans="1:18" ht="15" thickBot="1">
      <c r="A55" s="821" t="s">
        <v>872</v>
      </c>
      <c r="B55" s="831"/>
      <c r="C55" s="696">
        <f ca="1">C25*'EF ele_warmte'!B12</f>
        <v>164.53496235696755</v>
      </c>
      <c r="D55" s="696"/>
      <c r="E55" s="696">
        <f>E25*EF_CO2_aardgas</f>
        <v>362.23573572756015</v>
      </c>
      <c r="F55" s="696"/>
      <c r="G55" s="696"/>
      <c r="H55" s="696"/>
      <c r="I55" s="696"/>
      <c r="J55" s="696"/>
      <c r="K55" s="696"/>
      <c r="L55" s="696"/>
      <c r="M55" s="696"/>
      <c r="N55" s="696"/>
      <c r="O55" s="696"/>
      <c r="P55" s="696"/>
      <c r="Q55" s="697"/>
      <c r="R55" s="724">
        <f ca="1">SUM(C55:Q55)</f>
        <v>526.77069808452768</v>
      </c>
    </row>
    <row r="56" spans="1:18" ht="15.75" thickBot="1">
      <c r="A56" s="819" t="s">
        <v>873</v>
      </c>
      <c r="B56" s="832"/>
      <c r="C56" s="725">
        <f ca="1">SUM(C54:C55)</f>
        <v>537.34741548347085</v>
      </c>
      <c r="D56" s="725">
        <f t="shared" ref="D56:Q56" ca="1" si="7">SUM(D54:D55)</f>
        <v>0</v>
      </c>
      <c r="E56" s="725">
        <f t="shared" si="7"/>
        <v>365.14901829028844</v>
      </c>
      <c r="F56" s="725">
        <f t="shared" si="7"/>
        <v>5.2674841650881206</v>
      </c>
      <c r="G56" s="725">
        <f t="shared" si="7"/>
        <v>1696.384618029377</v>
      </c>
      <c r="H56" s="725">
        <f t="shared" si="7"/>
        <v>0</v>
      </c>
      <c r="I56" s="725">
        <f t="shared" si="7"/>
        <v>0</v>
      </c>
      <c r="J56" s="725">
        <f t="shared" si="7"/>
        <v>0</v>
      </c>
      <c r="K56" s="725">
        <f t="shared" si="7"/>
        <v>98.034899308558579</v>
      </c>
      <c r="L56" s="725">
        <f t="shared" si="7"/>
        <v>0</v>
      </c>
      <c r="M56" s="725">
        <f t="shared" si="7"/>
        <v>0</v>
      </c>
      <c r="N56" s="725">
        <f t="shared" si="7"/>
        <v>0</v>
      </c>
      <c r="O56" s="725">
        <f t="shared" si="7"/>
        <v>0</v>
      </c>
      <c r="P56" s="725">
        <f t="shared" si="7"/>
        <v>0</v>
      </c>
      <c r="Q56" s="726">
        <f t="shared" si="7"/>
        <v>0</v>
      </c>
      <c r="R56" s="727">
        <f ca="1">SUM(R54:R55)</f>
        <v>2702.1834352767833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9266.0975112643882</v>
      </c>
      <c r="D61" s="733">
        <f t="shared" ref="D61:Q61" ca="1" si="8">D46+D52+D56</f>
        <v>0</v>
      </c>
      <c r="E61" s="733">
        <f t="shared" ca="1" si="8"/>
        <v>9017.0772905749891</v>
      </c>
      <c r="F61" s="733">
        <f t="shared" si="8"/>
        <v>2949.233376868764</v>
      </c>
      <c r="G61" s="733">
        <f t="shared" ca="1" si="8"/>
        <v>18898.046825713544</v>
      </c>
      <c r="H61" s="733">
        <f t="shared" si="8"/>
        <v>8310.1850092390523</v>
      </c>
      <c r="I61" s="733">
        <f t="shared" si="8"/>
        <v>1902.1731354829594</v>
      </c>
      <c r="J61" s="733">
        <f t="shared" si="8"/>
        <v>0</v>
      </c>
      <c r="K61" s="733">
        <f t="shared" si="8"/>
        <v>98.141421158799858</v>
      </c>
      <c r="L61" s="733">
        <f t="shared" si="8"/>
        <v>0</v>
      </c>
      <c r="M61" s="733">
        <f t="shared" ca="1" si="8"/>
        <v>0</v>
      </c>
      <c r="N61" s="733">
        <f t="shared" si="8"/>
        <v>0</v>
      </c>
      <c r="O61" s="733">
        <f t="shared" ca="1" si="8"/>
        <v>0</v>
      </c>
      <c r="P61" s="733">
        <f t="shared" si="8"/>
        <v>0</v>
      </c>
      <c r="Q61" s="733">
        <f t="shared" si="8"/>
        <v>0</v>
      </c>
      <c r="R61" s="733">
        <f ca="1">R46+R52+R56</f>
        <v>50440.9545703025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0.20245475232389554</v>
      </c>
      <c r="D63" s="776">
        <f t="shared" ca="1" si="9"/>
        <v>0</v>
      </c>
      <c r="E63" s="1011">
        <f t="shared" ca="1" si="9"/>
        <v>0.20199999999999999</v>
      </c>
      <c r="F63" s="776">
        <f t="shared" si="9"/>
        <v>0.22700000000000004</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3728.19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112.5</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132.35294117647058</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3840.69</v>
      </c>
      <c r="C78" s="748">
        <f>SUM(C72:C77)</f>
        <v>0</v>
      </c>
      <c r="D78" s="749">
        <f t="shared" ref="D78:H78" si="10">SUM(D76:D77)</f>
        <v>0</v>
      </c>
      <c r="E78" s="749">
        <f t="shared" si="10"/>
        <v>0</v>
      </c>
      <c r="F78" s="749">
        <f t="shared" si="10"/>
        <v>0</v>
      </c>
      <c r="G78" s="749">
        <f t="shared" si="10"/>
        <v>0</v>
      </c>
      <c r="H78" s="749">
        <f t="shared" si="10"/>
        <v>0</v>
      </c>
      <c r="I78" s="749">
        <f>SUM(I76:I77)</f>
        <v>132.35294117647058</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126.5625</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148.89705882352942</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126.5625</v>
      </c>
      <c r="C90" s="748">
        <f>SUM(C87:C89)</f>
        <v>0</v>
      </c>
      <c r="D90" s="748">
        <f t="shared" ref="D90:H90" si="12">SUM(D87:D89)</f>
        <v>0</v>
      </c>
      <c r="E90" s="748">
        <f t="shared" si="12"/>
        <v>0</v>
      </c>
      <c r="F90" s="748">
        <f t="shared" si="12"/>
        <v>0</v>
      </c>
      <c r="G90" s="748">
        <f t="shared" si="12"/>
        <v>0</v>
      </c>
      <c r="H90" s="748">
        <f t="shared" si="12"/>
        <v>0</v>
      </c>
      <c r="I90" s="748">
        <f>SUM(I87:I89)</f>
        <v>148.89705882352942</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3728.19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112.5</v>
      </c>
      <c r="C8" s="560">
        <f>B101</f>
        <v>0</v>
      </c>
      <c r="D8" s="1028"/>
      <c r="E8" s="1028">
        <f>E101</f>
        <v>0</v>
      </c>
      <c r="F8" s="1029"/>
      <c r="G8" s="561"/>
      <c r="H8" s="1028">
        <f>I101</f>
        <v>0</v>
      </c>
      <c r="I8" s="1028">
        <f>G101+F101</f>
        <v>132.35294117647058</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3840.69</v>
      </c>
      <c r="C10" s="573">
        <f t="shared" ref="C10:L10" si="0">SUM(C8:C9)</f>
        <v>0</v>
      </c>
      <c r="D10" s="573">
        <f t="shared" si="0"/>
        <v>0</v>
      </c>
      <c r="E10" s="573">
        <f t="shared" si="0"/>
        <v>0</v>
      </c>
      <c r="F10" s="573">
        <f t="shared" si="0"/>
        <v>0</v>
      </c>
      <c r="G10" s="573">
        <f t="shared" si="0"/>
        <v>0</v>
      </c>
      <c r="H10" s="573">
        <f t="shared" si="0"/>
        <v>0</v>
      </c>
      <c r="I10" s="573">
        <f t="shared" si="0"/>
        <v>132.35294117647058</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126.5625</v>
      </c>
      <c r="C17" s="585">
        <f>B102</f>
        <v>0</v>
      </c>
      <c r="D17" s="586"/>
      <c r="E17" s="586">
        <f>E102</f>
        <v>0</v>
      </c>
      <c r="F17" s="1034"/>
      <c r="G17" s="587"/>
      <c r="H17" s="585">
        <f>I102</f>
        <v>0</v>
      </c>
      <c r="I17" s="586">
        <f>G102+F102</f>
        <v>148.89705882352942</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126.5625</v>
      </c>
      <c r="C20" s="572">
        <f>SUM(C17:C19)</f>
        <v>0</v>
      </c>
      <c r="D20" s="572">
        <f t="shared" ref="D20:L20" si="1">SUM(D17:D19)</f>
        <v>0</v>
      </c>
      <c r="E20" s="572">
        <f t="shared" si="1"/>
        <v>0</v>
      </c>
      <c r="F20" s="572">
        <f t="shared" si="1"/>
        <v>0</v>
      </c>
      <c r="G20" s="572">
        <f t="shared" si="1"/>
        <v>0</v>
      </c>
      <c r="H20" s="572">
        <f t="shared" si="1"/>
        <v>0</v>
      </c>
      <c r="I20" s="572">
        <f t="shared" si="1"/>
        <v>148.89705882352942</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24109</v>
      </c>
      <c r="C28" s="791">
        <v>3128</v>
      </c>
      <c r="D28" s="644" t="s">
        <v>913</v>
      </c>
      <c r="E28" s="643" t="s">
        <v>914</v>
      </c>
      <c r="F28" s="643" t="s">
        <v>915</v>
      </c>
      <c r="G28" s="643" t="s">
        <v>916</v>
      </c>
      <c r="H28" s="643" t="s">
        <v>917</v>
      </c>
      <c r="I28" s="643" t="s">
        <v>918</v>
      </c>
      <c r="J28" s="790">
        <v>40026</v>
      </c>
      <c r="K28" s="790">
        <v>40118</v>
      </c>
      <c r="L28" s="643" t="s">
        <v>919</v>
      </c>
      <c r="M28" s="643">
        <v>25</v>
      </c>
      <c r="N28" s="643">
        <v>112.5</v>
      </c>
      <c r="O28" s="643">
        <v>126.5625</v>
      </c>
      <c r="P28" s="643">
        <v>0</v>
      </c>
      <c r="Q28" s="643">
        <v>0</v>
      </c>
      <c r="R28" s="643">
        <v>0</v>
      </c>
      <c r="S28" s="643">
        <v>0</v>
      </c>
      <c r="T28" s="643">
        <v>0</v>
      </c>
      <c r="U28" s="643">
        <v>281.25</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25</v>
      </c>
      <c r="N58" s="601">
        <f>SUM(N28:N57)</f>
        <v>112.5</v>
      </c>
      <c r="O58" s="601">
        <f t="shared" ref="O58:W58" si="2">SUM(O28:O57)</f>
        <v>126.5625</v>
      </c>
      <c r="P58" s="601">
        <f t="shared" si="2"/>
        <v>0</v>
      </c>
      <c r="Q58" s="601">
        <f t="shared" si="2"/>
        <v>0</v>
      </c>
      <c r="R58" s="601">
        <f t="shared" si="2"/>
        <v>0</v>
      </c>
      <c r="S58" s="601">
        <f t="shared" si="2"/>
        <v>0</v>
      </c>
      <c r="T58" s="601">
        <f t="shared" si="2"/>
        <v>0</v>
      </c>
      <c r="U58" s="601">
        <f t="shared" si="2"/>
        <v>281.25</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25</v>
      </c>
      <c r="N60" s="601">
        <f ca="1">SUMIF($Z$28:AD57,"tertiair",N28:N57)</f>
        <v>112.5</v>
      </c>
      <c r="O60" s="601">
        <f ca="1">SUMIF($Z$28:AE57,"tertiair",O28:O57)</f>
        <v>126.5625</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281.25</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0.52941176470588236</v>
      </c>
      <c r="C98" s="626">
        <f>IF(ISERROR(N58/(O58+N58)),0,N58/(N58+O58))</f>
        <v>0.47058823529411764</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132.35294117647058</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148.89705882352942</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29187.577299314296</v>
      </c>
      <c r="C4" s="462">
        <f>huishoudens!C8</f>
        <v>0</v>
      </c>
      <c r="D4" s="462">
        <f>huishoudens!D8</f>
        <v>30666.376870953503</v>
      </c>
      <c r="E4" s="462">
        <f>huishoudens!E8</f>
        <v>12347.680513892677</v>
      </c>
      <c r="F4" s="462">
        <f>huishoudens!F8</f>
        <v>60589.891520054487</v>
      </c>
      <c r="G4" s="462">
        <f>huishoudens!G8</f>
        <v>0</v>
      </c>
      <c r="H4" s="462">
        <f>huishoudens!H8</f>
        <v>0</v>
      </c>
      <c r="I4" s="462">
        <f>huishoudens!I8</f>
        <v>0</v>
      </c>
      <c r="J4" s="462">
        <f>huishoudens!J8</f>
        <v>0</v>
      </c>
      <c r="K4" s="462">
        <f>huishoudens!K8</f>
        <v>0</v>
      </c>
      <c r="L4" s="462">
        <f>huishoudens!L8</f>
        <v>0</v>
      </c>
      <c r="M4" s="462">
        <f>huishoudens!M8</f>
        <v>0</v>
      </c>
      <c r="N4" s="462">
        <f>huishoudens!N8</f>
        <v>8432.7759736665121</v>
      </c>
      <c r="O4" s="462">
        <f>huishoudens!O8</f>
        <v>164.15</v>
      </c>
      <c r="P4" s="463">
        <f>huishoudens!P8</f>
        <v>305.06666666666666</v>
      </c>
      <c r="Q4" s="464">
        <f>SUM(B4:P4)</f>
        <v>141693.51884454815</v>
      </c>
    </row>
    <row r="5" spans="1:17">
      <c r="A5" s="461" t="s">
        <v>156</v>
      </c>
      <c r="B5" s="462">
        <f ca="1">tertiair!B16</f>
        <v>11295.976600201902</v>
      </c>
      <c r="C5" s="462">
        <f ca="1">tertiair!C16</f>
        <v>126.5625</v>
      </c>
      <c r="D5" s="462">
        <f ca="1">tertiair!D16</f>
        <v>11205.125853775153</v>
      </c>
      <c r="E5" s="462">
        <f>tertiair!E16</f>
        <v>162.43353183880214</v>
      </c>
      <c r="F5" s="462">
        <f ca="1">tertiair!F16</f>
        <v>2260.4082734207336</v>
      </c>
      <c r="G5" s="462">
        <f>tertiair!G16</f>
        <v>0</v>
      </c>
      <c r="H5" s="462">
        <f>tertiair!H16</f>
        <v>0</v>
      </c>
      <c r="I5" s="462">
        <f>tertiair!I16</f>
        <v>0</v>
      </c>
      <c r="J5" s="462">
        <f>tertiair!J16</f>
        <v>0</v>
      </c>
      <c r="K5" s="462">
        <f>tertiair!K16</f>
        <v>0</v>
      </c>
      <c r="L5" s="462">
        <f ca="1">tertiair!L16</f>
        <v>0</v>
      </c>
      <c r="M5" s="462">
        <f>tertiair!M16</f>
        <v>0</v>
      </c>
      <c r="N5" s="462">
        <f ca="1">tertiair!N16</f>
        <v>1048.3385520464838</v>
      </c>
      <c r="O5" s="462">
        <f>tertiair!O16</f>
        <v>0</v>
      </c>
      <c r="P5" s="463">
        <f>tertiair!P16</f>
        <v>19.066666666666666</v>
      </c>
      <c r="Q5" s="461">
        <f t="shared" ref="Q5:Q14" ca="1" si="0">SUM(B5:P5)</f>
        <v>26117.911977949741</v>
      </c>
    </row>
    <row r="6" spans="1:17">
      <c r="A6" s="461" t="s">
        <v>194</v>
      </c>
      <c r="B6" s="462">
        <f>'openbare verlichting'!B8</f>
        <v>966.01199999999994</v>
      </c>
      <c r="C6" s="462"/>
      <c r="D6" s="462"/>
      <c r="E6" s="462"/>
      <c r="F6" s="462"/>
      <c r="G6" s="462"/>
      <c r="H6" s="462"/>
      <c r="I6" s="462"/>
      <c r="J6" s="462"/>
      <c r="K6" s="462"/>
      <c r="L6" s="462"/>
      <c r="M6" s="462"/>
      <c r="N6" s="462"/>
      <c r="O6" s="462"/>
      <c r="P6" s="463"/>
      <c r="Q6" s="461">
        <f t="shared" si="0"/>
        <v>966.01199999999994</v>
      </c>
    </row>
    <row r="7" spans="1:17">
      <c r="A7" s="461" t="s">
        <v>112</v>
      </c>
      <c r="B7" s="462">
        <f>landbouw!B8</f>
        <v>1841.4606169879498</v>
      </c>
      <c r="C7" s="462">
        <f>landbouw!C8</f>
        <v>0</v>
      </c>
      <c r="D7" s="462">
        <f>landbouw!D8</f>
        <v>14.422190904595583</v>
      </c>
      <c r="E7" s="462">
        <f>landbouw!E8</f>
        <v>23.204776057656918</v>
      </c>
      <c r="F7" s="462">
        <f>landbouw!F8</f>
        <v>6353.5004420575915</v>
      </c>
      <c r="G7" s="462">
        <f>landbouw!G8</f>
        <v>0</v>
      </c>
      <c r="H7" s="462">
        <f>landbouw!H8</f>
        <v>0</v>
      </c>
      <c r="I7" s="462">
        <f>landbouw!I8</f>
        <v>0</v>
      </c>
      <c r="J7" s="462">
        <f>landbouw!J8</f>
        <v>276.93474380948754</v>
      </c>
      <c r="K7" s="462">
        <f>landbouw!K8</f>
        <v>0</v>
      </c>
      <c r="L7" s="462">
        <f>landbouw!L8</f>
        <v>0</v>
      </c>
      <c r="M7" s="462">
        <f>landbouw!M8</f>
        <v>0</v>
      </c>
      <c r="N7" s="462">
        <f>landbouw!N8</f>
        <v>0</v>
      </c>
      <c r="O7" s="462">
        <f>landbouw!O8</f>
        <v>0</v>
      </c>
      <c r="P7" s="463">
        <f>landbouw!P8</f>
        <v>0</v>
      </c>
      <c r="Q7" s="461">
        <f t="shared" si="0"/>
        <v>8509.5227698172821</v>
      </c>
    </row>
    <row r="8" spans="1:17">
      <c r="A8" s="461" t="s">
        <v>657</v>
      </c>
      <c r="B8" s="462">
        <f>industrie!B18</f>
        <v>1662.8362284080549</v>
      </c>
      <c r="C8" s="462">
        <f>industrie!C18</f>
        <v>0</v>
      </c>
      <c r="D8" s="462">
        <f>industrie!D18</f>
        <v>954.60385680342483</v>
      </c>
      <c r="E8" s="462">
        <f>industrie!E18</f>
        <v>307.04588834890745</v>
      </c>
      <c r="F8" s="462">
        <f>industrie!F18</f>
        <v>1575.401358899936</v>
      </c>
      <c r="G8" s="462">
        <f>industrie!G18</f>
        <v>0</v>
      </c>
      <c r="H8" s="462">
        <f>industrie!H18</f>
        <v>0</v>
      </c>
      <c r="I8" s="462">
        <f>industrie!I18</f>
        <v>0</v>
      </c>
      <c r="J8" s="462">
        <f>industrie!J18</f>
        <v>0.30090918147254275</v>
      </c>
      <c r="K8" s="462">
        <f>industrie!K18</f>
        <v>0</v>
      </c>
      <c r="L8" s="462">
        <f>industrie!L18</f>
        <v>0</v>
      </c>
      <c r="M8" s="462">
        <f>industrie!M18</f>
        <v>0</v>
      </c>
      <c r="N8" s="462">
        <f>industrie!N18</f>
        <v>507.51679193064632</v>
      </c>
      <c r="O8" s="462">
        <f>industrie!O18</f>
        <v>0</v>
      </c>
      <c r="P8" s="463">
        <f>industrie!P18</f>
        <v>0</v>
      </c>
      <c r="Q8" s="461">
        <f t="shared" si="0"/>
        <v>5007.7050335724416</v>
      </c>
    </row>
    <row r="9" spans="1:17" s="467" customFormat="1">
      <c r="A9" s="465" t="s">
        <v>574</v>
      </c>
      <c r="B9" s="466">
        <f>transport!B14</f>
        <v>2.1703658658558349</v>
      </c>
      <c r="C9" s="466">
        <f>transport!C14</f>
        <v>0</v>
      </c>
      <c r="D9" s="466">
        <f>transport!D14</f>
        <v>5.2214990852526748</v>
      </c>
      <c r="E9" s="466">
        <f>transport!E14</f>
        <v>151.85280910760918</v>
      </c>
      <c r="F9" s="466">
        <f>transport!F14</f>
        <v>0</v>
      </c>
      <c r="G9" s="466">
        <f>transport!G14</f>
        <v>30290.520749732852</v>
      </c>
      <c r="H9" s="466">
        <f>transport!H14</f>
        <v>7639.2495400922062</v>
      </c>
      <c r="I9" s="466">
        <f>transport!I14</f>
        <v>0</v>
      </c>
      <c r="J9" s="466">
        <f>transport!J14</f>
        <v>0</v>
      </c>
      <c r="K9" s="466">
        <f>transport!K14</f>
        <v>0</v>
      </c>
      <c r="L9" s="466">
        <f>transport!L14</f>
        <v>0</v>
      </c>
      <c r="M9" s="466">
        <f>transport!M14</f>
        <v>1715.8277725232069</v>
      </c>
      <c r="N9" s="466">
        <f>transport!N14</f>
        <v>0</v>
      </c>
      <c r="O9" s="466">
        <f>transport!O14</f>
        <v>0</v>
      </c>
      <c r="P9" s="466">
        <f>transport!P14</f>
        <v>0</v>
      </c>
      <c r="Q9" s="465">
        <f>SUM(B9:P9)</f>
        <v>39804.842736406979</v>
      </c>
    </row>
    <row r="10" spans="1:17">
      <c r="A10" s="461" t="s">
        <v>564</v>
      </c>
      <c r="B10" s="462">
        <f>transport!B54</f>
        <v>0</v>
      </c>
      <c r="C10" s="462">
        <f>transport!C54</f>
        <v>0</v>
      </c>
      <c r="D10" s="462">
        <f>transport!D54</f>
        <v>0</v>
      </c>
      <c r="E10" s="462">
        <f>transport!E54</f>
        <v>0</v>
      </c>
      <c r="F10" s="462">
        <f>transport!F54</f>
        <v>0</v>
      </c>
      <c r="G10" s="462">
        <f>transport!G54</f>
        <v>833.76767438344757</v>
      </c>
      <c r="H10" s="462">
        <f>transport!H54</f>
        <v>0</v>
      </c>
      <c r="I10" s="462">
        <f>transport!I54</f>
        <v>0</v>
      </c>
      <c r="J10" s="462">
        <f>transport!J54</f>
        <v>0</v>
      </c>
      <c r="K10" s="462">
        <f>transport!K54</f>
        <v>0</v>
      </c>
      <c r="L10" s="462">
        <f>transport!L54</f>
        <v>0</v>
      </c>
      <c r="M10" s="462">
        <f>transport!M54</f>
        <v>37.079687805842461</v>
      </c>
      <c r="N10" s="462">
        <f>transport!N54</f>
        <v>0</v>
      </c>
      <c r="O10" s="462">
        <f>transport!O54</f>
        <v>0</v>
      </c>
      <c r="P10" s="463">
        <f>transport!P54</f>
        <v>0</v>
      </c>
      <c r="Q10" s="461">
        <f t="shared" si="0"/>
        <v>870.84736218929004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812.69992661736899</v>
      </c>
      <c r="C14" s="469"/>
      <c r="D14" s="469">
        <f>'SEAP template'!E25</f>
        <v>1793.24621647307</v>
      </c>
      <c r="E14" s="469"/>
      <c r="F14" s="469"/>
      <c r="G14" s="469"/>
      <c r="H14" s="469"/>
      <c r="I14" s="469"/>
      <c r="J14" s="469"/>
      <c r="K14" s="469"/>
      <c r="L14" s="469"/>
      <c r="M14" s="469"/>
      <c r="N14" s="469"/>
      <c r="O14" s="469"/>
      <c r="P14" s="470"/>
      <c r="Q14" s="461">
        <f t="shared" si="0"/>
        <v>2605.9461430904389</v>
      </c>
    </row>
    <row r="15" spans="1:17" s="474" customFormat="1">
      <c r="A15" s="471" t="s">
        <v>568</v>
      </c>
      <c r="B15" s="472">
        <f ca="1">SUM(B4:B14)</f>
        <v>45768.733037395432</v>
      </c>
      <c r="C15" s="472">
        <f t="shared" ref="C15:Q15" ca="1" si="1">SUM(C4:C14)</f>
        <v>126.5625</v>
      </c>
      <c r="D15" s="472">
        <f t="shared" ca="1" si="1"/>
        <v>44638.996487994998</v>
      </c>
      <c r="E15" s="472">
        <f t="shared" si="1"/>
        <v>12992.217519245654</v>
      </c>
      <c r="F15" s="472">
        <f t="shared" ca="1" si="1"/>
        <v>70779.201594432743</v>
      </c>
      <c r="G15" s="472">
        <f t="shared" si="1"/>
        <v>31124.288424116301</v>
      </c>
      <c r="H15" s="472">
        <f t="shared" si="1"/>
        <v>7639.2495400922062</v>
      </c>
      <c r="I15" s="472">
        <f t="shared" si="1"/>
        <v>0</v>
      </c>
      <c r="J15" s="472">
        <f t="shared" si="1"/>
        <v>277.23565299096009</v>
      </c>
      <c r="K15" s="472">
        <f t="shared" si="1"/>
        <v>0</v>
      </c>
      <c r="L15" s="472">
        <f t="shared" ca="1" si="1"/>
        <v>0</v>
      </c>
      <c r="M15" s="472">
        <f t="shared" si="1"/>
        <v>1752.9074603290494</v>
      </c>
      <c r="N15" s="472">
        <f t="shared" ca="1" si="1"/>
        <v>9988.6313176436415</v>
      </c>
      <c r="O15" s="472">
        <f t="shared" si="1"/>
        <v>164.15</v>
      </c>
      <c r="P15" s="472">
        <f t="shared" si="1"/>
        <v>324.13333333333333</v>
      </c>
      <c r="Q15" s="472">
        <f t="shared" ca="1" si="1"/>
        <v>225576.30686757428</v>
      </c>
    </row>
    <row r="17" spans="1:17">
      <c r="A17" s="475" t="s">
        <v>569</v>
      </c>
      <c r="B17" s="781">
        <f ca="1">huishoudens!B10</f>
        <v>0.20245475232389559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5909.1637330672329</v>
      </c>
      <c r="C22" s="462">
        <f t="shared" ref="C22:C32" ca="1" si="3">C4*$C$17</f>
        <v>0</v>
      </c>
      <c r="D22" s="462">
        <f t="shared" ref="D22:D32" si="4">D4*$D$17</f>
        <v>6194.6081279326081</v>
      </c>
      <c r="E22" s="462">
        <f t="shared" ref="E22:E32" si="5">E4*$E$17</f>
        <v>2802.9234766536379</v>
      </c>
      <c r="F22" s="462">
        <f t="shared" ref="F22:F32" si="6">F4*$F$17</f>
        <v>16177.50103585455</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31084.196373508028</v>
      </c>
    </row>
    <row r="23" spans="1:17">
      <c r="A23" s="461" t="s">
        <v>156</v>
      </c>
      <c r="B23" s="462">
        <f t="shared" ca="1" si="2"/>
        <v>2286.9241448503963</v>
      </c>
      <c r="C23" s="462">
        <f t="shared" ca="1" si="3"/>
        <v>0</v>
      </c>
      <c r="D23" s="462">
        <f t="shared" ca="1" si="4"/>
        <v>2263.4354224625808</v>
      </c>
      <c r="E23" s="462">
        <f t="shared" si="5"/>
        <v>36.872411727408085</v>
      </c>
      <c r="F23" s="462">
        <f t="shared" ca="1" si="6"/>
        <v>603.52900900333589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5190.7609880437203</v>
      </c>
    </row>
    <row r="24" spans="1:17">
      <c r="A24" s="461" t="s">
        <v>194</v>
      </c>
      <c r="B24" s="462">
        <f t="shared" ca="1" si="2"/>
        <v>195.57372020191102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195.57372020191102</v>
      </c>
    </row>
    <row r="25" spans="1:17">
      <c r="A25" s="461" t="s">
        <v>112</v>
      </c>
      <c r="B25" s="462">
        <f t="shared" ca="1" si="2"/>
        <v>372.81245312650333</v>
      </c>
      <c r="C25" s="462">
        <f t="shared" ca="1" si="3"/>
        <v>0</v>
      </c>
      <c r="D25" s="462">
        <f t="shared" si="4"/>
        <v>2.9132825627283081</v>
      </c>
      <c r="E25" s="462">
        <f t="shared" si="5"/>
        <v>5.2674841650881206</v>
      </c>
      <c r="F25" s="462">
        <f t="shared" si="6"/>
        <v>1696.384618029377</v>
      </c>
      <c r="G25" s="462">
        <f t="shared" si="7"/>
        <v>0</v>
      </c>
      <c r="H25" s="462">
        <f t="shared" si="8"/>
        <v>0</v>
      </c>
      <c r="I25" s="462">
        <f t="shared" si="9"/>
        <v>0</v>
      </c>
      <c r="J25" s="462">
        <f t="shared" si="10"/>
        <v>98.034899308558579</v>
      </c>
      <c r="K25" s="462">
        <f t="shared" si="11"/>
        <v>0</v>
      </c>
      <c r="L25" s="462">
        <f t="shared" si="12"/>
        <v>0</v>
      </c>
      <c r="M25" s="462">
        <f t="shared" si="13"/>
        <v>0</v>
      </c>
      <c r="N25" s="462">
        <f t="shared" si="14"/>
        <v>0</v>
      </c>
      <c r="O25" s="462">
        <f t="shared" si="15"/>
        <v>0</v>
      </c>
      <c r="P25" s="463">
        <f t="shared" si="16"/>
        <v>0</v>
      </c>
      <c r="Q25" s="461">
        <f t="shared" ca="1" si="17"/>
        <v>2175.4127371922555</v>
      </c>
    </row>
    <row r="26" spans="1:17">
      <c r="A26" s="461" t="s">
        <v>657</v>
      </c>
      <c r="B26" s="462">
        <f t="shared" ca="1" si="2"/>
        <v>336.64909677755344</v>
      </c>
      <c r="C26" s="462">
        <f t="shared" ca="1" si="3"/>
        <v>0</v>
      </c>
      <c r="D26" s="462">
        <f t="shared" si="4"/>
        <v>192.82997907429183</v>
      </c>
      <c r="E26" s="462">
        <f t="shared" si="5"/>
        <v>69.699416655202</v>
      </c>
      <c r="F26" s="462">
        <f t="shared" si="6"/>
        <v>420.63216282628292</v>
      </c>
      <c r="G26" s="462">
        <f t="shared" si="7"/>
        <v>0</v>
      </c>
      <c r="H26" s="462">
        <f t="shared" si="8"/>
        <v>0</v>
      </c>
      <c r="I26" s="462">
        <f t="shared" si="9"/>
        <v>0</v>
      </c>
      <c r="J26" s="462">
        <f t="shared" si="10"/>
        <v>0.10652185024128012</v>
      </c>
      <c r="K26" s="462">
        <f t="shared" si="11"/>
        <v>0</v>
      </c>
      <c r="L26" s="462">
        <f t="shared" si="12"/>
        <v>0</v>
      </c>
      <c r="M26" s="462">
        <f t="shared" si="13"/>
        <v>0</v>
      </c>
      <c r="N26" s="462">
        <f t="shared" si="14"/>
        <v>0</v>
      </c>
      <c r="O26" s="462">
        <f t="shared" si="15"/>
        <v>0</v>
      </c>
      <c r="P26" s="463">
        <f t="shared" si="16"/>
        <v>0</v>
      </c>
      <c r="Q26" s="461">
        <f t="shared" ca="1" si="17"/>
        <v>1019.9171771835713</v>
      </c>
    </row>
    <row r="27" spans="1:17" s="467" customFormat="1">
      <c r="A27" s="465" t="s">
        <v>574</v>
      </c>
      <c r="B27" s="775">
        <f t="shared" ca="1" si="2"/>
        <v>0.43940088382408027</v>
      </c>
      <c r="C27" s="466">
        <f t="shared" ca="1" si="3"/>
        <v>0</v>
      </c>
      <c r="D27" s="466">
        <f t="shared" si="4"/>
        <v>1.0547428152210403</v>
      </c>
      <c r="E27" s="466">
        <f t="shared" si="5"/>
        <v>34.470587667427282</v>
      </c>
      <c r="F27" s="466">
        <f t="shared" si="6"/>
        <v>0</v>
      </c>
      <c r="G27" s="466">
        <f t="shared" si="7"/>
        <v>8087.5690401786724</v>
      </c>
      <c r="H27" s="466">
        <f t="shared" si="8"/>
        <v>1902.1731354829594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10025.706907028105</v>
      </c>
    </row>
    <row r="28" spans="1:17">
      <c r="A28" s="461" t="s">
        <v>564</v>
      </c>
      <c r="B28" s="462">
        <f t="shared" ca="1" si="2"/>
        <v>0</v>
      </c>
      <c r="C28" s="462">
        <f t="shared" ca="1" si="3"/>
        <v>0</v>
      </c>
      <c r="D28" s="462">
        <f t="shared" si="4"/>
        <v>0</v>
      </c>
      <c r="E28" s="462">
        <f t="shared" si="5"/>
        <v>0</v>
      </c>
      <c r="F28" s="462">
        <f t="shared" si="6"/>
        <v>0</v>
      </c>
      <c r="G28" s="462">
        <f t="shared" si="7"/>
        <v>222.61596906038051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222.61596906038051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164.53496235696755</v>
      </c>
      <c r="C32" s="462">
        <f t="shared" ca="1" si="3"/>
        <v>0</v>
      </c>
      <c r="D32" s="462">
        <f t="shared" si="4"/>
        <v>362.23573572756015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526.77069808452768</v>
      </c>
    </row>
    <row r="33" spans="1:17" s="474" customFormat="1">
      <c r="A33" s="471" t="s">
        <v>568</v>
      </c>
      <c r="B33" s="472">
        <f ca="1">SUM(B22:B32)</f>
        <v>9266.0975112643901</v>
      </c>
      <c r="C33" s="472">
        <f t="shared" ref="C33:Q33" ca="1" si="18">SUM(C22:C32)</f>
        <v>0</v>
      </c>
      <c r="D33" s="472">
        <f t="shared" ca="1" si="18"/>
        <v>9017.0772905749873</v>
      </c>
      <c r="E33" s="472">
        <f t="shared" si="18"/>
        <v>2949.233376868764</v>
      </c>
      <c r="F33" s="472">
        <f t="shared" ca="1" si="18"/>
        <v>18898.046825713544</v>
      </c>
      <c r="G33" s="472">
        <f t="shared" si="18"/>
        <v>8310.1850092390523</v>
      </c>
      <c r="H33" s="472">
        <f t="shared" si="18"/>
        <v>1902.1731354829594</v>
      </c>
      <c r="I33" s="472">
        <f t="shared" si="18"/>
        <v>0</v>
      </c>
      <c r="J33" s="472">
        <f t="shared" si="18"/>
        <v>98.141421158799858</v>
      </c>
      <c r="K33" s="472">
        <f t="shared" si="18"/>
        <v>0</v>
      </c>
      <c r="L33" s="472">
        <f t="shared" ca="1" si="18"/>
        <v>0</v>
      </c>
      <c r="M33" s="472">
        <f t="shared" si="18"/>
        <v>0</v>
      </c>
      <c r="N33" s="472">
        <f t="shared" ca="1" si="18"/>
        <v>0</v>
      </c>
      <c r="O33" s="472">
        <f t="shared" si="18"/>
        <v>0</v>
      </c>
      <c r="P33" s="472">
        <f t="shared" si="18"/>
        <v>0</v>
      </c>
      <c r="Q33" s="472">
        <f t="shared" ca="1" si="18"/>
        <v>50440.9545703025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3728.19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112.5</v>
      </c>
      <c r="C8" s="1047">
        <f>'SEAP template'!C76</f>
        <v>0</v>
      </c>
      <c r="D8" s="1047">
        <f>'SEAP template'!D76</f>
        <v>0</v>
      </c>
      <c r="E8" s="1047">
        <f>'SEAP template'!E76</f>
        <v>0</v>
      </c>
      <c r="F8" s="1047">
        <f>'SEAP template'!F76</f>
        <v>0</v>
      </c>
      <c r="G8" s="1047">
        <f>'SEAP template'!G76</f>
        <v>0</v>
      </c>
      <c r="H8" s="1047">
        <f>'SEAP template'!H76</f>
        <v>0</v>
      </c>
      <c r="I8" s="1047">
        <f>'SEAP template'!I76</f>
        <v>132.35294117647058</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3840.69</v>
      </c>
      <c r="C10" s="1051">
        <f>SUM(C4:C9)</f>
        <v>0</v>
      </c>
      <c r="D10" s="1051">
        <f t="shared" ref="D10:H10" si="0">SUM(D8:D9)</f>
        <v>0</v>
      </c>
      <c r="E10" s="1051">
        <f t="shared" si="0"/>
        <v>0</v>
      </c>
      <c r="F10" s="1051">
        <f t="shared" si="0"/>
        <v>0</v>
      </c>
      <c r="G10" s="1051">
        <f t="shared" si="0"/>
        <v>0</v>
      </c>
      <c r="H10" s="1051">
        <f t="shared" si="0"/>
        <v>0</v>
      </c>
      <c r="I10" s="1051">
        <f>SUM(I8:I9)</f>
        <v>132.35294117647058</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0.20245475232389559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126.5625</v>
      </c>
      <c r="C17" s="1053">
        <f>'SEAP template'!C87</f>
        <v>0</v>
      </c>
      <c r="D17" s="1048">
        <f>'SEAP template'!D87</f>
        <v>0</v>
      </c>
      <c r="E17" s="1048">
        <f>'SEAP template'!E87</f>
        <v>0</v>
      </c>
      <c r="F17" s="1048">
        <f>'SEAP template'!F87</f>
        <v>0</v>
      </c>
      <c r="G17" s="1048">
        <f>'SEAP template'!G87</f>
        <v>0</v>
      </c>
      <c r="H17" s="1048">
        <f>'SEAP template'!H87</f>
        <v>0</v>
      </c>
      <c r="I17" s="1048">
        <f>'SEAP template'!I87</f>
        <v>148.89705882352942</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126.5625</v>
      </c>
      <c r="C20" s="1051">
        <f>SUM(C17:C19)</f>
        <v>0</v>
      </c>
      <c r="D20" s="1051">
        <f t="shared" ref="D20:H20" si="2">SUM(D17:D19)</f>
        <v>0</v>
      </c>
      <c r="E20" s="1051">
        <f t="shared" si="2"/>
        <v>0</v>
      </c>
      <c r="F20" s="1051">
        <f t="shared" si="2"/>
        <v>0</v>
      </c>
      <c r="G20" s="1051">
        <f t="shared" si="2"/>
        <v>0</v>
      </c>
      <c r="H20" s="1051">
        <f t="shared" si="2"/>
        <v>0</v>
      </c>
      <c r="I20" s="1051">
        <f>SUM(I17:I19)</f>
        <v>148.89705882352942</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0.20245475232389559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2019-08-12T08:02:27Z</dcterms:modified>
</cp:coreProperties>
</file>