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<sst xmlns="http://schemas.openxmlformats.org/spreadsheetml/2006/main" count="2450" uniqueCount="926">
  <si>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</si>
  <si>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</si>
  <si>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</si>
  <si>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</si>
  <si>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</si>
  <si>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</si>
  <si>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</si>
  <si>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</si>
  <si>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</si>
  <si>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</si>
  <si>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</si>
  <si>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</si>
  <si>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</si>
  <si>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</si>
  <si>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</si>
  <si>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</si>
  <si>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</si>
  <si>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</si>
  <si>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</si>
  <si>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</si>
  <si>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</si>
  <si>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</si>
  <si>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</si>
  <si>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</si>
  <si>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</si>
  <si>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</si>
  <si>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</si>
  <si>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</si>
  <si>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</si>
  <si>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</si>
  <si>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</si>
  <si>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</si>
  <si>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</si>
  <si>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</si>
  <si>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</si>
  <si>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</si>
  <si>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</si>
  <si>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</si>
  <si>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</si>
  <si>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</si>
  <si>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</si>
  <si>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</si>
  <si>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</si>
  <si>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</si>
  <si>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</si>
  <si>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</si>
  <si>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</si>
  <si>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</si>
  <si>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</si>
  <si>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</si>
  <si>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</si>
  <si>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</si>
  <si>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</si>
  <si>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</si>
  <si>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</si>
  <si>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</si>
  <si>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</si>
  <si>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</si>
  <si>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</si>
  <si>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</si>
  <si>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</si>
  <si>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</si>
  <si>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</si>
  <si>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</si>
  <si>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</si>
  <si>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</si>
  <si>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</si>
  <si>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</si>
  <si>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</si>
  <si>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</si>
  <si>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</si>
  <si>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</si>
  <si>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</si>
  <si>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</si>
  <si>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</si>
  <si>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</si>
  <si>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</si>
  <si>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</si>
  <si>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</si>
  <si>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</si>
  <si>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</si>
  <si>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</si>
  <si>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</si>
  <si>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</si>
  <si>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</si>
  <si>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</si>
  <si>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</si>
  <si>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</si>
  <si>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</si>
  <si>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</si>
  <si>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</si>
  <si>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</si>
  <si>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</si>
  <si>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</si>
  <si>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</si>
  <si>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</si>
  <si>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</si>
  <si>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</si>
  <si>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</si>
  <si>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</si>
  <si>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</si>
  <si>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</si>
  <si>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</si>
  <si>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</si>
  <si>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</si>
  <si>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</si>
  <si>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</si>
  <si>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</si>
  <si>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</si>
  <si>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</si>
  <si>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</si>
  <si>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</si>
  <si>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</si>
  <si>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</si>
  <si>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</si>
  <si>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</si>
  <si>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</si>
  <si>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</si>
  <si>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</si>
  <si>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</si>
  <si>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</si>
  <si>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</si>
  <si>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</si>
  <si>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</si>
  <si>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</si>
  <si>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</si>
  <si>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</si>
  <si>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</si>
  <si>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</si>
  <si>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</si>
  <si>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</si>
  <si>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</si>
  <si>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</si>
  <si>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</si>
  <si>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</si>
  <si>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</si>
  <si>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</si>
  <si>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</si>
  <si>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</si>
  <si>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</si>
  <si>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</si>
  <si>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</si>
  <si>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</si>
  <si>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</si>
  <si>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</si>
  <si>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</si>
  <si>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</si>
  <si>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</si>
  <si>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</si>
  <si>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</si>
  <si>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</si>
  <si>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</si>
  <si>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</si>
  <si>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</si>
  <si>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</si>
  <si>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</si>
  <si>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</si>
  <si>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</si>
  <si>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</si>
  <si>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</si>
  <si>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</si>
  <si>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</si>
  <si>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</si>
  <si>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</si>
  <si>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</si>
  <si>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</si>
  <si>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</si>
  <si>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</si>
  <si>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</si>
  <si>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</si>
  <si>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</si>
  <si>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</si>
  <si>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</si>
  <si>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</si>
  <si>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</si>
  <si>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</si>
  <si>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</si>
  <si>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</si>
  <si>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</si>
  <si>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</si>
  <si>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</si>
  <si>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</si>
  <si>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</si>
  <si>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</si>
  <si>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</si>
  <si>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</si>
  <si>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</si>
  <si>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</si>
  <si>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</si>
  <si>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</si>
  <si>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</si>
  <si>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</si>
  <si>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</si>
  <si>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</si>
  <si>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</si>
  <si>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</si>
  <si>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</si>
  <si>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</si>
  <si>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</si>
  <si>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</si>
  <si>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</si>
  <si>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</si>
  <si>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</si>
  <si>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</si>
  <si>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</si>
  <si>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</si>
  <si>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</si>
  <si>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</si>
  <si>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</si>
  <si>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</si>
  <si>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</si>
  <si>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</si>
  <si>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</si>
  <si>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</si>
  <si>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</si>
  <si>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</si>
  <si>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</si>
  <si>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</si>
  <si>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</si>
  <si>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</si>
  <si>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</si>
  <si>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</si>
  <si>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</si>
  <si>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</si>
  <si>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</si>
  <si>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</si>
  <si>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</si>
  <si>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</si>
  <si>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</si>
  <si>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</si>
  <si>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</si>
  <si>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</si>
  <si>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</si>
  <si>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</si>
  <si>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</si>
  <si>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</si>
  <si>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</si>
  <si>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</si>
  <si>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</si>
  <si>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</si>
  <si>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</si>
  <si>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</si>
  <si>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</si>
  <si>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</si>
  <si>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</si>
  <si>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</si>
  <si>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</si>
  <si>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</si>
  <si>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</si>
  <si>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</si>
  <si>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</si>
  <si>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</si>
  <si>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</si>
  <si>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</si>
  <si>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</si>
  <si>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</si>
  <si>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</si>
  <si>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</si>
  <si>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</si>
  <si>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</si>
  <si>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</si>
  <si>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</si>
  <si>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</si>
  <si>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</si>
  <si>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</si>
  <si>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</si>
  <si>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</si>
  <si>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</si>
  <si>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</si>
  <si>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</si>
  <si>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</si>
  <si>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</si>
  <si>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</si>
  <si>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</si>
  <si>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</si>
  <si>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</si>
  <si>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</si>
  <si>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</si>
  <si>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</si>
  <si>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</si>
  <si>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</si>
  <si>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</si>
  <si>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</si>
  <si>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</si>
  <si>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</si>
  <si>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</si>
  <si>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</si>
  <si>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</si>
  <si>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</si>
  <si>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</si>
  <si>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</si>
  <si>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</si>
  <si>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</si>
  <si>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</si>
  <si>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</si>
  <si>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</si>
  <si>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</si>
  <si>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</si>
  <si>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</si>
  <si>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</si>
  <si>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</si>
  <si>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</si>
  <si>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</si>
  <si>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</si>
  <si>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</si>
  <si>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</si>
  <si>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</si>
  <si>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</si>
  <si>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</si>
  <si>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</si>
  <si>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</si>
  <si>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</si>
  <si>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</si>
  <si>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</si>
  <si>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</si>
  <si>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</si>
  <si>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</si>
  <si>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</si>
  <si>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</si>
  <si>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</si>
  <si>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</si>
  <si>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</si>
  <si>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</si>
  <si>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</si>
  <si>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</si>
  <si>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</si>
  <si>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</si>
  <si>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</si>
  <si>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</si>
  <si>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</si>
  <si>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</si>
  <si>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</si>
  <si>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</si>
  <si>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</si>
  <si>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</si>
  <si>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</si>
  <si>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</si>
  <si>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</si>
  <si>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</si>
  <si>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</si>
  <si>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</si>
  <si>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</si>
  <si>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</si>
  <si>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</si>
  <si>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</si>
  <si>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</si>
  <si>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</si>
  <si>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</si>
  <si>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</si>
  <si>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</si>
  <si>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</si>
  <si>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</si>
  <si>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</si>
  <si>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</si>
  <si>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</si>
  <si>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</si>
  <si>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</si>
  <si>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</si>
  <si>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</si>
  <si>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</si>
  <si>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</si>
  <si>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</si>
  <si>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</si>
  <si>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</si>
  <si>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</si>
  <si>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</si>
  <si>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</si>
  <si>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</si>
  <si>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</si>
  <si>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</si>
  <si>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</si>
  <si>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</si>
  <si>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</si>
  <si>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</si>
  <si>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</si>
  <si>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</si>
  <si>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</si>
  <si>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</si>
  <si>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</si>
  <si>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</si>
  <si>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</si>
  <si>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</si>
  <si>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</si>
  <si>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</si>
  <si>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</si>
  <si>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</si>
  <si>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</si>
  <si>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</si>
  <si>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</si>
  <si>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</si>
  <si>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</si>
  <si>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</si>
  <si>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</si>
  <si>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</si>
  <si>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</si>
  <si>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</si>
  <si>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</si>
  <si>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</si>
  <si>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</si>
  <si>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</si>
  <si>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</si>
  <si>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</si>
  <si>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</si>
  <si>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</si>
  <si>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</si>
  <si>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</si>
  <si>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</si>
  <si>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</si>
  <si>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</si>
  <si>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</si>
  <si>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</si>
  <si>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</si>
  <si>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</si>
  <si>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</si>
  <si>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</si>
  <si>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</si>
  <si>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</si>
  <si>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</si>
  <si>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</si>
  <si>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</si>
  <si>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</si>
  <si>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</si>
  <si>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</si>
  <si>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</si>
  <si>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</si>
  <si>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</si>
  <si>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</si>
  <si>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</si>
  <si>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</si>
  <si>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</si>
  <si>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</si>
  <si>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</si>
  <si>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</si>
  <si>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</si>
  <si>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</si>
  <si>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</si>
  <si>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</si>
  <si>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</si>
  <si>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</si>
  <si>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</si>
  <si>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</si>
  <si>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</si>
  <si>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</si>
  <si>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</si>
  <si>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</si>
  <si>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</si>
  <si>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</si>
  <si>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</si>
  <si>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</si>
  <si>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</si>
  <si>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</si>
  <si>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</si>
  <si>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</si>
  <si>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</si>
  <si>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</si>
  <si>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</si>
  <si>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</si>
  <si>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</si>
  <si>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</si>
  <si>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</si>
  <si>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</si>
  <si>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</si>
  <si>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</si>
  <si>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</si>
  <si>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</si>
  <si>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</si>
  <si>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</si>
  <si>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</si>
  <si>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</si>
  <si>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</si>
  <si>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</si>
  <si>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</si>
  <si>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</si>
  <si>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</si>
  <si>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</si>
  <si>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</si>
  <si>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</si>
  <si>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</si>
  <si>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</si>
  <si>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</si>
  <si>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</si>
  <si>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</si>
  <si>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</si>
  <si>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</si>
  <si>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</si>
  <si>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</si>
  <si>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</si>
  <si>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</si>
  <si>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</si>
  <si>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</si>
  <si>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</si>
  <si>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</si>
  <si>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</si>
  <si>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</si>
  <si>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</si>
  <si>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</si>
  <si>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</si>
  <si>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</si>
  <si>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</si>
  <si>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</si>
  <si>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</si>
  <si>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</si>
  <si>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</si>
  <si>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</si>
  <si>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</si>
  <si>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</si>
  <si>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</si>
  <si>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</si>
  <si>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</si>
  <si>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</si>
  <si>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</si>
  <si>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</si>
  <si>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</si>
  <si>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</si>
  <si>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</si>
  <si>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</si>
  <si>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</si>
  <si>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</si>
  <si>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</si>
  <si>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</si>
  <si>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</si>
  <si>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</si>
  <si>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</si>
  <si>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</si>
  <si>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</si>
  <si>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</si>
  <si>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</si>
  <si>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</si>
  <si>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</si>
  <si>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</si>
  <si>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</si>
  <si>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</si>
  <si>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</si>
  <si>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</si>
  <si>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</si>
  <si>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</si>
  <si>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</si>
  <si>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</si>
  <si>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</si>
  <si>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</si>
  <si>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</si>
  <si>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</si>
  <si>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</si>
  <si>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</si>
  <si>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</si>
  <si>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</si>
  <si>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</si>
  <si>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</si>
  <si>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</si>
  <si>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</si>
  <si>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</si>
  <si>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</si>
  <si>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</si>
  <si>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</si>
  <si>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</si>
  <si>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</si>
  <si>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</si>
  <si>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</si>
  <si>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</si>
  <si>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</si>
  <si>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</si>
  <si>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</si>
  <si>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</si>
  <si>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</si>
  <si>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</si>
  <si>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</si>
  <si>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</si>
  <si>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</si>
  <si>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</si>
  <si>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</si>
  <si>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</si>
  <si>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</si>
  <si>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</si>
  <si>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</si>
  <si>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</si>
  <si>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</si>
  <si>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</si>
  <si>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</si>
  <si>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</si>
  <si>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</si>
  <si>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</si>
  <si>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</si>
  <si>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</si>
  <si>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</si>
  <si>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</si>
  <si>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</si>
  <si>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</si>
  <si>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</si>
  <si>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</si>
  <si>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</si>
  <si>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</si>
  <si>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</si>
  <si>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</si>
  <si>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</si>
  <si>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</si>
  <si>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</si>
  <si>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</si>
  <si>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</si>
  <si>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</si>
  <si>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</si>
  <si>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</si>
  <si>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</si>
  <si>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</si>
  <si>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</si>
  <si>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</si>
  <si>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</si>
  <si>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</si>
  <si>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</si>
  <si>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</si>
  <si>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</si>
  <si>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</si>
  <si>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</si>
  <si>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</si>
  <si>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</si>
  <si>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</si>
  <si>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</si>
  <si>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</si>
  <si>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</si>
  <si>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</si>
  <si>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</si>
  <si>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</si>
  <si>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</si>
  <si>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</si>
  <si>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</si>
  <si>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</si>
  <si>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</si>
  <si>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</si>
  <si>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</si>
  <si>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</si>
  <si>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</si>
  <si>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</si>
  <si>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</si>
  <si>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</si>
  <si>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</si>
  <si>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</si>
  <si>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</si>
  <si>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</si>
  <si>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</si>
  <si>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</si>
  <si>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</si>
  <si>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</si>
  <si>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</si>
  <si>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</si>
  <si>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</si>
  <si>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</si>
  <si>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</si>
  <si>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</si>
  <si>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</si>
  <si>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</si>
  <si>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</si>
  <si>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</si>
  <si>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</si>
  <si>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</si>
  <si>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</si>
  <si>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</si>
  <si>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</si>
  <si>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</si>
  <si>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</si>
  <si>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</si>
  <si>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</si>
  <si>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</si>
  <si>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</si>
  <si>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</si>
  <si>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</si>
  <si>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</si>
  <si>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</si>
  <si>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</si>
  <si>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</si>
  <si>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</si>
  <si>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</si>
  <si>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</si>
  <si>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</si>
  <si>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</si>
  <si>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</si>
  <si>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</si>
  <si>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</si>
  <si>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</si>
  <si>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</si>
  <si>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</si>
  <si>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</si>
  <si>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</si>
  <si>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</si>
  <si>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</si>
  <si>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</si>
  <si>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</si>
  <si>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</si>
  <si>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</si>
  <si>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</si>
  <si>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</si>
  <si>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</si>
  <si>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</si>
  <si>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</si>
  <si>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</si>
  <si>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</si>
  <si>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</si>
  <si>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</si>
  <si>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</si>
  <si>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</si>
  <si>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</si>
  <si>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</si>
  <si>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</si>
  <si>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</si>
  <si>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</si>
  <si>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</si>
  <si>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</si>
  <si>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</si>
  <si>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</si>
  <si>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</si>
  <si>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</si>
  <si>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</si>
  <si>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</si>
  <si>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</si>
  <si>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</si>
  <si>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</si>
  <si>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</si>
  <si>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</si>
  <si>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</si>
  <si>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</si>
  <si>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</si>
  <si>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</si>
  <si>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</si>
  <si>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</si>
  <si>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</si>
  <si>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</si>
  <si>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</si>
  <si>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</si>
  <si>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</si>
  <si>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</si>
  <si>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</si>
  <si>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</si>
  <si>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</si>
  <si>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</si>
  <si>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</si>
  <si>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</si>
  <si>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</si>
  <si>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</si>
  <si>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</si>
  <si>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</si>
  <si>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</si>
  <si>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</si>
  <si>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</si>
  <si>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</si>
  <si>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</si>
  <si>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</si>
  <si>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</si>
  <si>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</si>
  <si>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</si>
  <si>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</si>
  <si>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</si>
  <si>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</si>
  <si>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</si>
  <si>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</si>
  <si>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</si>
  <si>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</si>
  <si>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</si>
  <si>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</si>
  <si>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</si>
  <si>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</si>
  <si>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</si>
  <si>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</si>
  <si>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</si>
  <si>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</si>
  <si>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</si>
  <si>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</si>
  <si>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</si>
  <si>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</si>
  <si>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</si>
  <si>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</si>
  <si>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</si>
  <si>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</si>
  <si>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</si>
  <si>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</si>
  <si>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</si>
  <si>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</si>
  <si>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</si>
  <si>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</si>
  <si>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</si>
  <si>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</si>
  <si>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</si>
  <si>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</si>
  <si>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</si>
  <si>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</si>
  <si>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</si>
  <si>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</si>
  <si>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</si>
  <si>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</si>
  <si>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</si>
  <si>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</si>
  <si>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</si>
  <si>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</si>
  <si>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</si>
  <si>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</si>
  <si>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</si>
  <si>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</si>
  <si>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</si>
  <si>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</si>
  <si>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</si>
  <si>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</si>
  <si>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</si>
  <si>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</si>
  <si>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</si>
  <si>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</si>
  <si>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</si>
  <si>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</si>
  <si>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</si>
  <si>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</si>
  <si>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</si>
  <si>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</si>
  <si>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</si>
  <si>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</si>
  <si>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</si>
  <si>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</si>
  <si>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</si>
  <si>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</si>
  <si>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</si>
  <si>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</si>
  <si>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</si>
  <si>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</si>
  <si>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</si>
  <si>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</si>
  <si>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</si>
  <si>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</si>
  <si>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</si>
  <si>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</si>
  <si>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</si>
  <si>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</si>
  <si>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</si>
  <si>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</si>
  <si>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</si>
  <si>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</si>
  <si>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</si>
  <si>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</si>
  <si>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</si>
  <si>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</si>
  <si>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</si>
  <si>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</si>
  <si>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</si>
  <si>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</si>
  <si>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</si>
  <si>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</si>
  <si>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</si>
  <si>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</si>
  <si>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</si>
  <si>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</si>
  <si>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</si>
  <si>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</si>
  <si>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</si>
  <si>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</si>
  <si>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</si>
  <si>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</si>
  <si>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</si>
  <si>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</si>
  <si>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</si>
  <si>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</si>
  <si>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</si>
  <si>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</si>
  <si>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</si>
  <si>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</si>
  <si>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</si>
  <si>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</si>
  <si>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</si>
  <si>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</si>
  <si>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</si>
  <si>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</si>
  <si>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</si>
  <si>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</si>
  <si>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</si>
  <si>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</si>
  <si>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</si>
  <si>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</si>
  <si>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</si>
  <si>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</si>
  <si>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</si>
  <si>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</si>
  <si>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</si>
  <si>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</si>
  <si>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</si>
  <si>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</si>
  <si>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</si>
  <si>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</si>
  <si>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</si>
  <si>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</si>
  <si>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</si>
  <si>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</si>
  <si>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</si>
  <si>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</si>
  <si>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</si>
  <si>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</si>
  <si>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</si>
  <si>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</si>
  <si>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</si>
  <si>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</si>
  <si>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</si>
  <si>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</si>
  <si>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</si>
  <si>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</si>
  <si>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</si>
  <si>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</si>
  <si>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</si>
  <si>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</si>
  <si>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</si>
  <si>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</si>
  <si>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</si>
  <si>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</si>
  <si>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</si>
  <si>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</si>
  <si>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24062</t>
  </si>
  <si>
    <t>LEUVEN</t>
  </si>
  <si>
    <t>Cultuurgrond (ha)</t>
  </si>
  <si>
    <t>Paarden&amp;pony's 200 - 600 kg</t>
  </si>
  <si>
    <t>Paarden&amp;pony's &lt; 200 kg</t>
  </si>
  <si>
    <t>op basis van VEA (maart 2018) en Inventaris Hernieuwbare Energiebronnen (juni 2018)</t>
  </si>
  <si>
    <t>VEA (juni 2018)</t>
  </si>
  <si>
    <t>Sterrekes Kinderdagverblijf vzw</t>
  </si>
  <si>
    <t>Geldenaaksebaan 438 , 3001 Heverlee</t>
  </si>
  <si>
    <t>WKK-0431 De Sterrekes Kinderdagverblijf</t>
  </si>
  <si>
    <t>interne verbrandingsmotor</t>
  </si>
  <si>
    <t>WKK interne verbrandinsgmotor (gas)</t>
  </si>
  <si>
    <t>IVERLEK</t>
  </si>
  <si>
    <t>Aquafin NV</t>
  </si>
  <si>
    <t>Dijkstraat 8, 2630 Aartselaar</t>
  </si>
  <si>
    <t>BGS-0016 RWZI Leuven (GSC rest)</t>
  </si>
  <si>
    <t>biogas - RWZI</t>
  </si>
  <si>
    <t>niet WKK interne verbrandingsmotor (gas)</t>
  </si>
  <si>
    <t>Aarschotsesteenweg 208, 3010 Kessel-Lo</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</si>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</sst>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781526.33594453731</c:v>
                </c:pt>
                <c:pt idx="1">
                  <c:v>1100571.9177040847</c:v>
                </c:pt>
                <c:pt idx="2">
                  <c:v>5540.8969999999999</c:v>
                </c:pt>
                <c:pt idx="3">
                  <c:v>7929.0989281678148</c:v>
                </c:pt>
                <c:pt idx="4">
                  <c:v>361427.49479709927</c:v>
                </c:pt>
                <c:pt idx="5">
                  <c:v>551025.54330252262</c:v>
                </c:pt>
                <c:pt idx="6">
                  <c:v>25470.66806043006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781526.33594453731</c:v>
                </c:pt>
                <c:pt idx="1">
                  <c:v>1100571.9177040847</c:v>
                </c:pt>
                <c:pt idx="2">
                  <c:v>5540.8969999999999</c:v>
                </c:pt>
                <c:pt idx="3">
                  <c:v>7929.0989281678148</c:v>
                </c:pt>
                <c:pt idx="4">
                  <c:v>361427.49479709927</c:v>
                </c:pt>
                <c:pt idx="5">
                  <c:v>551025.54330252262</c:v>
                </c:pt>
                <c:pt idx="6">
                  <c:v>25470.66806043006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164478.35293754231</c:v>
                </c:pt>
                <c:pt idx="2">
                  <c:v>233697.65376502494</c:v>
                </c:pt>
                <c:pt idx="3">
                  <c:v>1205.2151925447513</c:v>
                </c:pt>
                <c:pt idx="4">
                  <c:v>1975.3638043147844</c:v>
                </c:pt>
                <c:pt idx="5">
                  <c:v>73949.1378646495</c:v>
                </c:pt>
                <c:pt idx="6">
                  <c:v>139101.27351617388</c:v>
                </c:pt>
                <c:pt idx="7">
                  <c:v>6511.1036664717294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17920"/>
      </c:barChart>
      <c:catAx>
        <c:axId val="182807936"/>
        <c:scaling>
          <c:orientation val="minMax"/>
        </c:scaling>
        <c:axPos val="b"/>
        <c:numFmt formatCode="General" sourceLinked="0"/>
        <c:tickLblPos val="nextTo"/>
        <c:crossAx val="182817920"/>
        <c:crosses val="autoZero"/>
        <c:auto val="1"/>
        <c:lblAlgn val="ctr"/>
        <c:lblOffset val="100"/>
      </c:catAx>
      <c:valAx>
        <c:axId val="182817920"/>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164478.35293754231</c:v>
                </c:pt>
                <c:pt idx="2">
                  <c:v>233697.65376502494</c:v>
                </c:pt>
                <c:pt idx="3">
                  <c:v>1205.2151925447513</c:v>
                </c:pt>
                <c:pt idx="4">
                  <c:v>1975.3638043147844</c:v>
                </c:pt>
                <c:pt idx="5">
                  <c:v>73949.1378646495</c:v>
                </c:pt>
                <c:pt idx="6">
                  <c:v>139101.27351617388</c:v>
                </c:pt>
                <c:pt idx="7">
                  <c:v>6511.1036664717294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24062</v>
      </c>
      <c r="B6" s="398"/>
      <c r="C6" s="399"/>
    </row>
    <row r="7" spans="1:7" s="396" customFormat="1" ht="15.75" customHeight="1">
      <c r="A7" s="400" t="str">
        <f>txtMunicipality</f>
        <v>LEUVEN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0.21751265048687085</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0.21751265048687085</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24062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48100</v>
      </c>
      <c r="C9" s="338">
        <v>48019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1093</v>
      </c>
    </row>
    <row r="15" spans="1:6">
      <c r="A15" s="1295" t="s">
        <v>184</v>
      </c>
      <c r="B15" s="335">
        <v>1</v>
      </c>
    </row>
    <row r="16" spans="1:6">
      <c r="A16" s="1295" t="s">
        <v>6</v>
      </c>
      <c r="B16" s="335">
        <v>115</v>
      </c>
    </row>
    <row r="17" spans="1:6">
      <c r="A17" s="1295" t="s">
        <v>7</v>
      </c>
      <c r="B17" s="335">
        <v>136</v>
      </c>
    </row>
    <row r="18" spans="1:6">
      <c r="A18" s="1295" t="s">
        <v>8</v>
      </c>
      <c r="B18" s="335">
        <v>176</v>
      </c>
    </row>
    <row r="19" spans="1:6">
      <c r="A19" s="1295" t="s">
        <v>9</v>
      </c>
      <c r="B19" s="335">
        <v>143</v>
      </c>
    </row>
    <row r="20" spans="1:6">
      <c r="A20" s="1295" t="s">
        <v>10</v>
      </c>
      <c r="B20" s="335">
        <v>127</v>
      </c>
    </row>
    <row r="21" spans="1:6">
      <c r="A21" s="1295" t="s">
        <v>11</v>
      </c>
      <c r="B21" s="335">
        <v>0</v>
      </c>
    </row>
    <row r="22" spans="1:6">
      <c r="A22" s="1295" t="s">
        <v>12</v>
      </c>
      <c r="B22" s="335">
        <v>50</v>
      </c>
    </row>
    <row r="23" spans="1:6">
      <c r="A23" s="1295" t="s">
        <v>13</v>
      </c>
      <c r="B23" s="335">
        <v>0</v>
      </c>
    </row>
    <row r="24" spans="1:6">
      <c r="A24" s="1295" t="s">
        <v>14</v>
      </c>
      <c r="B24" s="335">
        <v>0</v>
      </c>
    </row>
    <row r="25" spans="1:6">
      <c r="A25" s="1295" t="s">
        <v>15</v>
      </c>
      <c r="B25" s="335">
        <v>0</v>
      </c>
    </row>
    <row r="26" spans="1:6">
      <c r="A26" s="1295" t="s">
        <v>16</v>
      </c>
      <c r="B26" s="335">
        <v>244</v>
      </c>
    </row>
    <row r="27" spans="1:6">
      <c r="A27" s="1295" t="s">
        <v>17</v>
      </c>
      <c r="B27" s="335">
        <v>0</v>
      </c>
    </row>
    <row r="28" spans="1:6" s="341" customFormat="1">
      <c r="A28" s="1296" t="s">
        <v>18</v>
      </c>
      <c r="B28" s="1296">
        <v>0</v>
      </c>
    </row>
    <row r="29" spans="1:6">
      <c r="A29" s="1296" t="s">
        <v>909</v>
      </c>
      <c r="B29" s="1296">
        <v>75</v>
      </c>
      <c r="C29" s="341"/>
      <c r="D29" s="341"/>
      <c r="E29" s="341"/>
      <c r="F29" s="341"/>
    </row>
    <row r="30" spans="1:6">
      <c r="A30" s="1291" t="s">
        <v>910</v>
      </c>
      <c r="B30" s="1291">
        <v>11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22</v>
      </c>
      <c r="D36" s="335">
        <v>4710201.6405131603</v>
      </c>
      <c r="E36" s="335">
        <v>28</v>
      </c>
      <c r="F36" s="335">
        <v>740568.95066104201</v>
      </c>
    </row>
    <row r="37" spans="1:6">
      <c r="A37" s="1295" t="s">
        <v>25</v>
      </c>
      <c r="B37" s="1295" t="s">
        <v>28</v>
      </c>
      <c r="C37" s="335">
        <v>0</v>
      </c>
      <c r="D37" s="335">
        <v>0</v>
      </c>
      <c r="E37" s="335">
        <v>0</v>
      </c>
      <c r="F37" s="335">
        <v>0</v>
      </c>
    </row>
    <row r="38" spans="1:6">
      <c r="A38" s="1295" t="s">
        <v>25</v>
      </c>
      <c r="B38" s="1295" t="s">
        <v>29</v>
      </c>
      <c r="C38" s="335">
        <v>7</v>
      </c>
      <c r="D38" s="335">
        <v>1547917.1798600301</v>
      </c>
      <c r="E38" s="335">
        <v>8</v>
      </c>
      <c r="F38" s="335">
        <v>145320.193939141</v>
      </c>
    </row>
    <row r="39" spans="1:6">
      <c r="A39" s="1295" t="s">
        <v>30</v>
      </c>
      <c r="B39" s="1295" t="s">
        <v>31</v>
      </c>
      <c r="C39" s="335">
        <v>28740</v>
      </c>
      <c r="D39" s="335">
        <v>499589967.54689997</v>
      </c>
      <c r="E39" s="335">
        <v>46114</v>
      </c>
      <c r="F39" s="335">
        <v>143524772.617342</v>
      </c>
    </row>
    <row r="40" spans="1:6">
      <c r="A40" s="1295" t="s">
        <v>30</v>
      </c>
      <c r="B40" s="1295" t="s">
        <v>29</v>
      </c>
      <c r="C40" s="335">
        <v>0</v>
      </c>
      <c r="D40" s="335">
        <v>0</v>
      </c>
      <c r="E40" s="335">
        <v>0</v>
      </c>
      <c r="F40" s="335">
        <v>0</v>
      </c>
    </row>
    <row r="41" spans="1:6">
      <c r="A41" s="1295" t="s">
        <v>32</v>
      </c>
      <c r="B41" s="1295" t="s">
        <v>33</v>
      </c>
      <c r="C41" s="335">
        <v>248</v>
      </c>
      <c r="D41" s="335">
        <v>34850740.423423499</v>
      </c>
      <c r="E41" s="335">
        <v>533</v>
      </c>
      <c r="F41" s="335">
        <v>36666286.067494601</v>
      </c>
    </row>
    <row r="42" spans="1:6">
      <c r="A42" s="1295" t="s">
        <v>32</v>
      </c>
      <c r="B42" s="1295" t="s">
        <v>34</v>
      </c>
      <c r="C42" s="335">
        <v>0</v>
      </c>
      <c r="D42" s="335">
        <v>0</v>
      </c>
      <c r="E42" s="335">
        <v>3</v>
      </c>
      <c r="F42" s="335">
        <v>31353.995812347199</v>
      </c>
    </row>
    <row r="43" spans="1:6">
      <c r="A43" s="1295" t="s">
        <v>32</v>
      </c>
      <c r="B43" s="1295" t="s">
        <v>35</v>
      </c>
      <c r="C43" s="335">
        <v>0</v>
      </c>
      <c r="D43" s="335">
        <v>0</v>
      </c>
      <c r="E43" s="335">
        <v>0</v>
      </c>
      <c r="F43" s="335">
        <v>0</v>
      </c>
    </row>
    <row r="44" spans="1:6">
      <c r="A44" s="1295" t="s">
        <v>32</v>
      </c>
      <c r="B44" s="1295" t="s">
        <v>36</v>
      </c>
      <c r="C44" s="335">
        <v>7</v>
      </c>
      <c r="D44" s="335">
        <v>277556.61021116201</v>
      </c>
      <c r="E44" s="335">
        <v>45</v>
      </c>
      <c r="F44" s="335">
        <v>2995766.98463772</v>
      </c>
    </row>
    <row r="45" spans="1:6">
      <c r="A45" s="1295" t="s">
        <v>32</v>
      </c>
      <c r="B45" s="1295" t="s">
        <v>37</v>
      </c>
      <c r="C45" s="335">
        <v>3</v>
      </c>
      <c r="D45" s="335">
        <v>85056.118096604507</v>
      </c>
      <c r="E45" s="335">
        <v>8</v>
      </c>
      <c r="F45" s="335">
        <v>54910.7029449521</v>
      </c>
    </row>
    <row r="46" spans="1:6">
      <c r="A46" s="1295" t="s">
        <v>32</v>
      </c>
      <c r="B46" s="1295" t="s">
        <v>38</v>
      </c>
      <c r="C46" s="335">
        <v>0</v>
      </c>
      <c r="D46" s="335">
        <v>0</v>
      </c>
      <c r="E46" s="335">
        <v>0</v>
      </c>
      <c r="F46" s="335">
        <v>0</v>
      </c>
    </row>
    <row r="47" spans="1:6">
      <c r="A47" s="1295" t="s">
        <v>32</v>
      </c>
      <c r="B47" s="1295" t="s">
        <v>39</v>
      </c>
      <c r="C47" s="335">
        <v>28</v>
      </c>
      <c r="D47" s="335">
        <v>1304919.83736158</v>
      </c>
      <c r="E47" s="335">
        <v>43</v>
      </c>
      <c r="F47" s="335">
        <v>1040869.66544294</v>
      </c>
    </row>
    <row r="48" spans="1:6">
      <c r="A48" s="1295" t="s">
        <v>32</v>
      </c>
      <c r="B48" s="1295" t="s">
        <v>29</v>
      </c>
      <c r="C48" s="335">
        <v>104</v>
      </c>
      <c r="D48" s="335">
        <v>85387659.3658081</v>
      </c>
      <c r="E48" s="335">
        <v>111</v>
      </c>
      <c r="F48" s="335">
        <v>46062141.086603202</v>
      </c>
    </row>
    <row r="49" spans="1:6">
      <c r="A49" s="1295" t="s">
        <v>32</v>
      </c>
      <c r="B49" s="1295" t="s">
        <v>40</v>
      </c>
      <c r="C49" s="335">
        <v>6</v>
      </c>
      <c r="D49" s="335">
        <v>224137.70111591701</v>
      </c>
      <c r="E49" s="335">
        <v>11</v>
      </c>
      <c r="F49" s="335">
        <v>113118.7867925</v>
      </c>
    </row>
    <row r="50" spans="1:6">
      <c r="A50" s="1295" t="s">
        <v>32</v>
      </c>
      <c r="B50" s="1295" t="s">
        <v>41</v>
      </c>
      <c r="C50" s="335">
        <v>45</v>
      </c>
      <c r="D50" s="335">
        <v>8718335.6413133703</v>
      </c>
      <c r="E50" s="335">
        <v>69</v>
      </c>
      <c r="F50" s="335">
        <v>29404490.802696899</v>
      </c>
    </row>
    <row r="51" spans="1:6">
      <c r="A51" s="1295" t="s">
        <v>42</v>
      </c>
      <c r="B51" s="1295" t="s">
        <v>43</v>
      </c>
      <c r="C51" s="335">
        <v>6</v>
      </c>
      <c r="D51" s="335">
        <v>474521.10302734701</v>
      </c>
      <c r="E51" s="335">
        <v>22</v>
      </c>
      <c r="F51" s="335">
        <v>627695.16068332002</v>
      </c>
    </row>
    <row r="52" spans="1:6">
      <c r="A52" s="1295" t="s">
        <v>42</v>
      </c>
      <c r="B52" s="1295" t="s">
        <v>29</v>
      </c>
      <c r="C52" s="335">
        <v>10</v>
      </c>
      <c r="D52" s="335">
        <v>1047835.64300563</v>
      </c>
      <c r="E52" s="335">
        <v>21</v>
      </c>
      <c r="F52" s="335">
        <v>793417.22977631702</v>
      </c>
    </row>
    <row r="53" spans="1:6">
      <c r="A53" s="1295" t="s">
        <v>44</v>
      </c>
      <c r="B53" s="1295" t="s">
        <v>45</v>
      </c>
      <c r="C53" s="335">
        <v>1289</v>
      </c>
      <c r="D53" s="335">
        <v>40541611.913348898</v>
      </c>
      <c r="E53" s="335">
        <v>2545</v>
      </c>
      <c r="F53" s="335">
        <v>18173866.816826899</v>
      </c>
    </row>
    <row r="54" spans="1:6">
      <c r="A54" s="1295" t="s">
        <v>46</v>
      </c>
      <c r="B54" s="1295" t="s">
        <v>47</v>
      </c>
      <c r="C54" s="335">
        <v>0</v>
      </c>
      <c r="D54" s="335">
        <v>0</v>
      </c>
      <c r="E54" s="335">
        <v>1</v>
      </c>
      <c r="F54" s="335">
        <v>5540897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284</v>
      </c>
      <c r="D57" s="335">
        <v>22137516.5023285</v>
      </c>
      <c r="E57" s="335">
        <v>509</v>
      </c>
      <c r="F57" s="335">
        <v>23896932.730904099</v>
      </c>
    </row>
    <row r="58" spans="1:6">
      <c r="A58" s="1295" t="s">
        <v>49</v>
      </c>
      <c r="B58" s="1295" t="s">
        <v>51</v>
      </c>
      <c r="C58" s="335">
        <v>284</v>
      </c>
      <c r="D58" s="335">
        <v>24287366.514539901</v>
      </c>
      <c r="E58" s="335">
        <v>417</v>
      </c>
      <c r="F58" s="335">
        <v>8569532.7762845401</v>
      </c>
    </row>
    <row r="59" spans="1:6">
      <c r="A59" s="1295" t="s">
        <v>49</v>
      </c>
      <c r="B59" s="1295" t="s">
        <v>52</v>
      </c>
      <c r="C59" s="335">
        <v>636</v>
      </c>
      <c r="D59" s="335">
        <v>33389299.991730001</v>
      </c>
      <c r="E59" s="335">
        <v>1192</v>
      </c>
      <c r="F59" s="335">
        <v>46562277.171921298</v>
      </c>
    </row>
    <row r="60" spans="1:6">
      <c r="A60" s="1295" t="s">
        <v>49</v>
      </c>
      <c r="B60" s="1295" t="s">
        <v>53</v>
      </c>
      <c r="C60" s="335">
        <v>597</v>
      </c>
      <c r="D60" s="335">
        <v>214986044.869315</v>
      </c>
      <c r="E60" s="335">
        <v>713</v>
      </c>
      <c r="F60" s="335">
        <v>227958854.910925</v>
      </c>
    </row>
    <row r="61" spans="1:6">
      <c r="A61" s="1295" t="s">
        <v>49</v>
      </c>
      <c r="B61" s="1295" t="s">
        <v>54</v>
      </c>
      <c r="C61" s="335">
        <v>1674</v>
      </c>
      <c r="D61" s="335">
        <v>192746443.347363</v>
      </c>
      <c r="E61" s="335">
        <v>3526</v>
      </c>
      <c r="F61" s="335">
        <v>107954023.782858</v>
      </c>
    </row>
    <row r="62" spans="1:6">
      <c r="A62" s="1295" t="s">
        <v>49</v>
      </c>
      <c r="B62" s="1295" t="s">
        <v>55</v>
      </c>
      <c r="C62" s="335">
        <v>82</v>
      </c>
      <c r="D62" s="335">
        <v>16887497.741773002</v>
      </c>
      <c r="E62" s="335">
        <v>124</v>
      </c>
      <c r="F62" s="335">
        <v>14884791.7632211</v>
      </c>
    </row>
    <row r="63" spans="1:6">
      <c r="A63" s="1295" t="s">
        <v>49</v>
      </c>
      <c r="B63" s="1295" t="s">
        <v>29</v>
      </c>
      <c r="C63" s="335">
        <v>418</v>
      </c>
      <c r="D63" s="335">
        <v>63924104.524457403</v>
      </c>
      <c r="E63" s="335">
        <v>448</v>
      </c>
      <c r="F63" s="335">
        <v>19683321.584959999</v>
      </c>
    </row>
    <row r="64" spans="1:6">
      <c r="A64" s="1295" t="s">
        <v>56</v>
      </c>
      <c r="B64" s="1295" t="s">
        <v>57</v>
      </c>
      <c r="C64" s="335">
        <v>0</v>
      </c>
      <c r="D64" s="335">
        <v>0</v>
      </c>
      <c r="E64" s="335">
        <v>0</v>
      </c>
      <c r="F64" s="335">
        <v>0</v>
      </c>
    </row>
    <row r="65" spans="1:6">
      <c r="A65" s="1295" t="s">
        <v>56</v>
      </c>
      <c r="B65" s="1295" t="s">
        <v>29</v>
      </c>
      <c r="C65" s="335">
        <v>6</v>
      </c>
      <c r="D65" s="335">
        <v>181186.94735029599</v>
      </c>
      <c r="E65" s="335">
        <v>11</v>
      </c>
      <c r="F65" s="335">
        <v>80540.314473552906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10</v>
      </c>
      <c r="D68" s="335">
        <v>438067.74968045799</v>
      </c>
      <c r="E68" s="335">
        <v>13</v>
      </c>
      <c r="F68" s="335">
        <v>254128.91301042301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173938861</v>
      </c>
      <c r="E73" s="335">
        <v>199881438.02433458</v>
      </c>
    </row>
    <row r="74" spans="1:6">
      <c r="A74" s="1295" t="s">
        <v>64</v>
      </c>
      <c r="B74" s="1295" t="s">
        <v>727</v>
      </c>
      <c r="C74" s="1295" t="s">
        <v>728</v>
      </c>
      <c r="D74" s="335">
        <v>5587926.6165573839</v>
      </c>
      <c r="E74" s="335">
        <v>6542007.0372506846</v>
      </c>
    </row>
    <row r="75" spans="1:6">
      <c r="A75" s="1295" t="s">
        <v>65</v>
      </c>
      <c r="B75" s="1295" t="s">
        <v>725</v>
      </c>
      <c r="C75" s="1295" t="s">
        <v>729</v>
      </c>
      <c r="D75" s="335">
        <v>110269643</v>
      </c>
      <c r="E75" s="335">
        <v>126372646.0874704</v>
      </c>
    </row>
    <row r="76" spans="1:6">
      <c r="A76" s="1295" t="s">
        <v>65</v>
      </c>
      <c r="B76" s="1295" t="s">
        <v>727</v>
      </c>
      <c r="C76" s="1295" t="s">
        <v>730</v>
      </c>
      <c r="D76" s="335">
        <v>390157.61655738438</v>
      </c>
      <c r="E76" s="335">
        <v>818371.3312086598</v>
      </c>
    </row>
    <row r="77" spans="1:6">
      <c r="A77" s="1295" t="s">
        <v>66</v>
      </c>
      <c r="B77" s="1295" t="s">
        <v>725</v>
      </c>
      <c r="C77" s="1295" t="s">
        <v>731</v>
      </c>
      <c r="D77" s="335">
        <v>362383566</v>
      </c>
      <c r="E77" s="335">
        <v>394661232.63375366</v>
      </c>
    </row>
    <row r="78" spans="1:6">
      <c r="A78" s="1291" t="s">
        <v>66</v>
      </c>
      <c r="B78" s="1291" t="s">
        <v>727</v>
      </c>
      <c r="C78" s="1291" t="s">
        <v>732</v>
      </c>
      <c r="D78" s="1291">
        <v>33287574</v>
      </c>
      <c r="E78" s="1291">
        <v>37352927.311322875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6729046.7668852312</v>
      </c>
      <c r="C83" s="335">
        <v>6670104.9103517374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63.898654708520183</v>
      </c>
    </row>
    <row r="90" spans="1:6">
      <c r="A90" s="1295" t="s">
        <v>562</v>
      </c>
      <c r="B90" s="1308">
        <v>0</v>
      </c>
    </row>
    <row r="91" spans="1:6">
      <c r="A91" s="1295" t="s">
        <v>68</v>
      </c>
      <c r="B91" s="335">
        <v>7316.4549999999999</v>
      </c>
    </row>
    <row r="92" spans="1:6">
      <c r="A92" s="1291" t="s">
        <v>69</v>
      </c>
      <c r="B92" s="338">
        <v>2948.5940000000001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21126</v>
      </c>
    </row>
    <row r="98" spans="1:6">
      <c r="A98" s="1295" t="s">
        <v>72</v>
      </c>
      <c r="B98" s="335">
        <v>27</v>
      </c>
    </row>
    <row r="99" spans="1:6">
      <c r="A99" s="1295" t="s">
        <v>73</v>
      </c>
      <c r="B99" s="335">
        <v>177</v>
      </c>
    </row>
    <row r="100" spans="1:6">
      <c r="A100" s="1295" t="s">
        <v>74</v>
      </c>
      <c r="B100" s="335">
        <v>3087</v>
      </c>
    </row>
    <row r="101" spans="1:6">
      <c r="A101" s="1295" t="s">
        <v>75</v>
      </c>
      <c r="B101" s="335">
        <v>75</v>
      </c>
    </row>
    <row r="102" spans="1:6">
      <c r="A102" s="1295" t="s">
        <v>76</v>
      </c>
      <c r="B102" s="335">
        <v>1071</v>
      </c>
    </row>
    <row r="103" spans="1:6">
      <c r="A103" s="1295" t="s">
        <v>77</v>
      </c>
      <c r="B103" s="335">
        <v>267</v>
      </c>
    </row>
    <row r="104" spans="1:6">
      <c r="A104" s="1295" t="s">
        <v>78</v>
      </c>
      <c r="B104" s="335">
        <v>12359</v>
      </c>
    </row>
    <row r="105" spans="1:6">
      <c r="A105" s="1291" t="s">
        <v>79</v>
      </c>
      <c r="B105" s="1291">
        <v>69</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3</v>
      </c>
      <c r="C121" s="335">
        <v>0</v>
      </c>
    </row>
    <row r="122" spans="1:6">
      <c r="A122" s="1295" t="s">
        <v>87</v>
      </c>
      <c r="B122" s="335">
        <v>0</v>
      </c>
      <c r="C122" s="335">
        <v>0</v>
      </c>
    </row>
    <row r="123" spans="1:6">
      <c r="A123" s="1295" t="s">
        <v>88</v>
      </c>
      <c r="B123" s="335">
        <v>19</v>
      </c>
      <c r="C123" s="335">
        <v>33</v>
      </c>
    </row>
    <row r="124" spans="1:6">
      <c r="A124" s="1291" t="s">
        <v>89</v>
      </c>
      <c r="B124" s="335">
        <v>1</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341</v>
      </c>
    </row>
    <row r="130" spans="1:6">
      <c r="A130" s="1295" t="s">
        <v>295</v>
      </c>
      <c r="B130" s="335">
        <v>6</v>
      </c>
    </row>
    <row r="131" spans="1:6">
      <c r="A131" s="1295" t="s">
        <v>296</v>
      </c>
      <c r="B131" s="335">
        <v>10</v>
      </c>
    </row>
    <row r="132" spans="1:6">
      <c r="A132" s="1291" t="s">
        <v>297</v>
      </c>
      <c r="B132" s="338">
        <v>18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743337.38311659766</v>
      </c>
      <c r="C3" s="43" t="s">
        <v>170</v>
      </c>
      <c r="D3" s="43"/>
      <c r="E3" s="156"/>
      <c r="F3" s="43"/>
      <c r="G3" s="43"/>
      <c r="H3" s="43"/>
      <c r="I3" s="43"/>
      <c r="J3" s="43"/>
      <c r="K3" s="96"/>
    </row>
    <row r="4" spans="1:11">
      <c r="A4" s="366" t="s">
        <v>171</v>
      </c>
      <c r="B4" s="49">
        <f>IF(ISERROR('SEAP template'!B78+'SEAP template'!C78),0,'SEAP template'!B78+'SEAP template'!C78)</f>
        <v>11775.247654708519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10.052470588235296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0.21751265048687085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14.360672268907567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60.428571428571438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5540.8969999999999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5540.8969999999999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0.21751265048687085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1205.2151925447513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143524.77261734201</v>
      </c>
      <c r="C5" s="17">
        <f>IF(ISERROR('Eigen informatie GS &amp; warmtenet'!B57),0,'Eigen informatie GS &amp; warmtenet'!B57)</f>
        <v>0</v>
      </c>
      <c r="D5" s="30">
        <f>(SUM(HH_hh_gas_kWh,HH_rest_gas_kWh)/1000)*0.902</f>
        <v>450630.15072730382</v>
      </c>
      <c r="E5" s="17">
        <f>B46*B57</f>
        <v>15260.769953720765</v>
      </c>
      <c r="F5" s="17">
        <f>B51*B62</f>
        <v>139239.67224490966</v>
      </c>
      <c r="G5" s="18"/>
      <c r="H5" s="17"/>
      <c r="I5" s="17"/>
      <c r="J5" s="17">
        <f>B50*B61+C50*C61</f>
        <v>0</v>
      </c>
      <c r="K5" s="17"/>
      <c r="L5" s="17"/>
      <c r="M5" s="17"/>
      <c r="N5" s="17">
        <f>B48*B59+C48*C59</f>
        <v>24242.168734594372</v>
      </c>
      <c r="O5" s="17">
        <f>B69*B70*B71</f>
        <v>587.81333333333339</v>
      </c>
      <c r="P5" s="17">
        <f>B77*B78*B79/1000-B77*B78*B79/1000/B80</f>
        <v>724.5333333333333</v>
      </c>
    </row>
    <row r="6" spans="1:16">
      <c r="A6" s="16" t="s">
        <v>634</v>
      </c>
      <c r="B6" s="783">
        <f>kWh_PV_kleiner_dan_10kW</f>
        <v>7316.4549999999999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150841.227617342</v>
      </c>
      <c r="C8" s="21">
        <f>C5</f>
        <v>0</v>
      </c>
      <c r="D8" s="21">
        <f>D5</f>
        <v>450630.15072730382</v>
      </c>
      <c r="E8" s="21">
        <f>E5</f>
        <v>15260.769953720765</v>
      </c>
      <c r="F8" s="21">
        <f>F5</f>
        <v>139239.67224490966</v>
      </c>
      <c r="G8" s="21"/>
      <c r="H8" s="21"/>
      <c r="I8" s="21"/>
      <c r="J8" s="21">
        <f>J5</f>
        <v>0</v>
      </c>
      <c r="K8" s="21"/>
      <c r="L8" s="21">
        <f>L5</f>
        <v>0</v>
      </c>
      <c r="M8" s="21">
        <f>M5</f>
        <v>0</v>
      </c>
      <c r="N8" s="21">
        <f>N5</f>
        <v>24242.168734594372</v>
      </c>
      <c r="O8" s="21">
        <f>O5</f>
        <v>587.81333333333339</v>
      </c>
      <c r="P8" s="21">
        <f>P5</f>
        <v>724.5333333333333</v>
      </c>
    </row>
    <row r="9" spans="1:16">
      <c r="B9" s="19"/>
      <c r="C9" s="19"/>
      <c r="D9" s="261"/>
      <c r="E9" s="19"/>
      <c r="F9" s="19"/>
      <c r="G9" s="19"/>
      <c r="H9" s="19"/>
      <c r="I9" s="19"/>
      <c r="J9" s="19"/>
      <c r="K9" s="19"/>
      <c r="L9" s="19"/>
      <c r="M9" s="19"/>
      <c r="N9" s="19"/>
      <c r="O9" s="19"/>
      <c r="P9" s="19"/>
    </row>
    <row r="10" spans="1:16">
      <c r="A10" s="24" t="s">
        <v>214</v>
      </c>
      <c r="B10" s="25">
        <f ca="1">'EF ele_warmte'!B12</f>
        <v>0.21751265048687085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32809.875221741444</v>
      </c>
      <c r="C12" s="23">
        <f ca="1">C10*C8</f>
        <v>0</v>
      </c>
      <c r="D12" s="23">
        <f>D8*D10</f>
        <v>91027.290446915373</v>
      </c>
      <c r="E12" s="23">
        <f>E10*E8</f>
        <v>3464.1947794946136</v>
      </c>
      <c r="F12" s="23">
        <f>F10*F8</f>
        <v>37176.992489390883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21126</v>
      </c>
      <c r="C18" s="168" t="s">
        <v>111</v>
      </c>
      <c r="D18" s="230"/>
      <c r="E18" s="15"/>
    </row>
    <row r="19" spans="1:7">
      <c r="A19" s="173" t="s">
        <v>72</v>
      </c>
      <c r="B19" s="37">
        <f>aantalw2001_ander</f>
        <v>27</v>
      </c>
      <c r="C19" s="168" t="s">
        <v>111</v>
      </c>
      <c r="D19" s="231"/>
      <c r="E19" s="15"/>
    </row>
    <row r="20" spans="1:7">
      <c r="A20" s="173" t="s">
        <v>73</v>
      </c>
      <c r="B20" s="37">
        <f>aantalw2001_propaan</f>
        <v>177</v>
      </c>
      <c r="C20" s="169">
        <f>IF(ISERROR(B20/SUM($B$20,$B$21,$B$22)*100),0,B20/SUM($B$20,$B$21,$B$22)*100)</f>
        <v>5.3009883198562449</v>
      </c>
      <c r="D20" s="231"/>
      <c r="E20" s="15"/>
    </row>
    <row r="21" spans="1:7">
      <c r="A21" s="173" t="s">
        <v>74</v>
      </c>
      <c r="B21" s="37">
        <f>aantalw2001_elektriciteit</f>
        <v>3087</v>
      </c>
      <c r="C21" s="169">
        <f>IF(ISERROR(B21/SUM($B$20,$B$21,$B$22)*100),0,B21/SUM($B$20,$B$21,$B$22)*100)</f>
        <v>92.452830188679243</v>
      </c>
      <c r="D21" s="231"/>
      <c r="E21" s="15"/>
    </row>
    <row r="22" spans="1:7">
      <c r="A22" s="173" t="s">
        <v>75</v>
      </c>
      <c r="B22" s="37">
        <f>aantalw2001_hout</f>
        <v>75</v>
      </c>
      <c r="C22" s="169">
        <f>IF(ISERROR(B22/SUM($B$20,$B$21,$B$22)*100),0,B22/SUM($B$20,$B$21,$B$22)*100)</f>
        <v>2.2461814914645104</v>
      </c>
      <c r="D22" s="231"/>
      <c r="E22" s="15"/>
    </row>
    <row r="23" spans="1:7">
      <c r="A23" s="173" t="s">
        <v>76</v>
      </c>
      <c r="B23" s="37">
        <f>aantalw2001_niet_gespec</f>
        <v>1071</v>
      </c>
      <c r="C23" s="168" t="s">
        <v>111</v>
      </c>
      <c r="D23" s="230"/>
      <c r="E23" s="15"/>
    </row>
    <row r="24" spans="1:7">
      <c r="A24" s="173" t="s">
        <v>77</v>
      </c>
      <c r="B24" s="37">
        <f>aantalw2001_steenkool</f>
        <v>267</v>
      </c>
      <c r="C24" s="168" t="s">
        <v>111</v>
      </c>
      <c r="D24" s="231"/>
      <c r="E24" s="15"/>
    </row>
    <row r="25" spans="1:7">
      <c r="A25" s="173" t="s">
        <v>78</v>
      </c>
      <c r="B25" s="37">
        <f>aantalw2001_stookolie</f>
        <v>12359</v>
      </c>
      <c r="C25" s="168" t="s">
        <v>111</v>
      </c>
      <c r="D25" s="230"/>
      <c r="E25" s="52"/>
    </row>
    <row r="26" spans="1:7">
      <c r="A26" s="173" t="s">
        <v>79</v>
      </c>
      <c r="B26" s="37">
        <f>aantalw2001_WP</f>
        <v>69</v>
      </c>
      <c r="C26" s="168" t="s">
        <v>111</v>
      </c>
      <c r="D26" s="230"/>
      <c r="E26" s="15"/>
    </row>
    <row r="27" spans="1:7" s="15" customFormat="1">
      <c r="A27" s="173"/>
      <c r="B27" s="29"/>
      <c r="C27" s="36"/>
      <c r="D27" s="230"/>
    </row>
    <row r="28" spans="1:7" s="15" customFormat="1">
      <c r="A28" s="232" t="s">
        <v>745</v>
      </c>
      <c r="B28" s="37">
        <f>aantalHuishoudens2011</f>
        <v>48100</v>
      </c>
      <c r="C28" s="36"/>
      <c r="D28" s="230"/>
    </row>
    <row r="29" spans="1:7" s="15" customFormat="1">
      <c r="A29" s="232" t="s">
        <v>746</v>
      </c>
      <c r="B29" s="37">
        <f>SUM(HH_hh_gas_aantal,HH_rest_gas_aantal)</f>
        <v>28740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28740</v>
      </c>
      <c r="C32" s="169">
        <f>IF(ISERROR(B32/SUM($B$32,$B$34,$B$35,$B$36,$B$38,$B$39)*100),0,B32/SUM($B$32,$B$34,$B$35,$B$36,$B$38,$B$39)*100)</f>
        <v>59.797761225084265</v>
      </c>
      <c r="D32" s="235"/>
      <c r="G32" s="15"/>
    </row>
    <row r="33" spans="1:7">
      <c r="A33" s="173" t="s">
        <v>72</v>
      </c>
      <c r="B33" s="34" t="s">
        <v>111</v>
      </c>
      <c r="C33" s="169"/>
      <c r="D33" s="235"/>
      <c r="G33" s="15"/>
    </row>
    <row r="34" spans="1:7">
      <c r="A34" s="173" t="s">
        <v>73</v>
      </c>
      <c r="B34" s="33">
        <f>IF((($B$28-$B$32-$B$39-$B$77-$B$38)*C20/100)&lt;0,0,($B$28-$B$32-$B$39-$B$77-$B$38)*C20/100)</f>
        <v>732.36334231805949</v>
      </c>
      <c r="C34" s="169">
        <f>IF(ISERROR(B34/SUM($B$32,$B$34,$B$35,$B$36,$B$38,$B$39)*100),0,B34/SUM($B$32,$B$34,$B$35,$B$36,$B$38,$B$39)*100)</f>
        <v>1.523788736045232</v>
      </c>
      <c r="D34" s="235"/>
      <c r="G34" s="15"/>
    </row>
    <row r="35" spans="1:7">
      <c r="A35" s="173" t="s">
        <v>74</v>
      </c>
      <c r="B35" s="33">
        <f>IF((($B$28-$B$32-$B$39-$B$77-$B$38)*C21/100)&lt;0,0,($B$28-$B$32-$B$39-$B$77-$B$38)*C21/100)</f>
        <v>12772.913207547172</v>
      </c>
      <c r="C35" s="169">
        <f>IF(ISERROR(B35/SUM($B$32,$B$34,$B$35,$B$36,$B$38,$B$39)*100),0,B35/SUM($B$32,$B$34,$B$35,$B$36,$B$38,$B$39)*100)</f>
        <v>26.575908633738027</v>
      </c>
      <c r="D35" s="235"/>
      <c r="G35" s="15"/>
    </row>
    <row r="36" spans="1:7">
      <c r="A36" s="173" t="s">
        <v>75</v>
      </c>
      <c r="B36" s="33">
        <f>IF((($B$28-$B$32-$B$39-$B$77-$B$38)*C22/100)&lt;0,0,($B$28-$B$32-$B$39-$B$77-$B$38)*C22/100)</f>
        <v>310.32345013477089</v>
      </c>
      <c r="C36" s="169">
        <f>IF(ISERROR(B36/SUM($B$32,$B$34,$B$35,$B$36,$B$38,$B$39)*100),0,B36/SUM($B$32,$B$34,$B$35,$B$36,$B$38,$B$39)*100)</f>
        <v>0.64567319323950501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5506.4</v>
      </c>
      <c r="C39" s="169">
        <f>IF(ISERROR(B39/SUM($B$32,$B$34,$B$35,$B$36,$B$38,$B$39)*100),0,B39/SUM($B$32,$B$34,$B$35,$B$36,$B$38,$B$39)*100)</f>
        <v>11.456868211892971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28740</v>
      </c>
      <c r="C44" s="34" t="s">
        <v>111</v>
      </c>
      <c r="D44" s="176"/>
    </row>
    <row r="45" spans="1:7">
      <c r="A45" s="173" t="s">
        <v>72</v>
      </c>
      <c r="B45" s="33" t="str">
        <f t="shared" si="0"/>
        <v>-</v>
      </c>
      <c r="C45" s="34" t="s">
        <v>111</v>
      </c>
      <c r="D45" s="176"/>
    </row>
    <row r="46" spans="1:7">
      <c r="A46" s="173" t="s">
        <v>73</v>
      </c>
      <c r="B46" s="33">
        <f t="shared" si="0"/>
        <v>732.36334231805949</v>
      </c>
      <c r="C46" s="34" t="s">
        <v>111</v>
      </c>
      <c r="D46" s="176"/>
    </row>
    <row r="47" spans="1:7">
      <c r="A47" s="173" t="s">
        <v>74</v>
      </c>
      <c r="B47" s="33">
        <f t="shared" si="0"/>
        <v>12772.913207547172</v>
      </c>
      <c r="C47" s="34" t="s">
        <v>111</v>
      </c>
      <c r="D47" s="176"/>
    </row>
    <row r="48" spans="1:7">
      <c r="A48" s="173" t="s">
        <v>75</v>
      </c>
      <c r="B48" s="33">
        <f t="shared" si="0"/>
        <v>310.32345013477089</v>
      </c>
      <c r="C48" s="33">
        <f>B48*10</f>
        <v>3103.2345013477088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5506.4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376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449509.734721074</v>
      </c>
      <c r="C5" s="17">
        <f>IF(ISERROR('Eigen informatie GS &amp; warmtenet'!B58),0,'Eigen informatie GS &amp; warmtenet'!B58)</f>
        <v>0</v>
      </c>
      <c r="D5" s="30">
        <f>SUM(D6:D12)</f>
        <v>512659.16268933925</v>
      </c>
      <c r="E5" s="17">
        <f>SUM(E6:E12)</f>
        <v>14303.137212947651</v>
      </c>
      <c r="F5" s="17">
        <f>SUM(F6:F12)</f>
        <v>107921.72606665676</v>
      </c>
      <c r="G5" s="18"/>
      <c r="H5" s="17"/>
      <c r="I5" s="17"/>
      <c r="J5" s="17">
        <f>SUM(J6:J12)</f>
        <v>0</v>
      </c>
      <c r="K5" s="17"/>
      <c r="L5" s="17"/>
      <c r="M5" s="17"/>
      <c r="N5" s="17">
        <f>SUM(N6:N12)</f>
        <v>18546.467490257422</v>
      </c>
      <c r="O5" s="17">
        <f>B38*B39*B40</f>
        <v>9.3800000000000008</v>
      </c>
      <c r="P5" s="17">
        <f>B46*B47*B48/1000-B46*B47*B48/1000/B49</f>
        <v>247.86666666666667</v>
      </c>
      <c r="R5" s="32"/>
    </row>
    <row r="6" spans="1:18">
      <c r="A6" s="32" t="s">
        <v>54</v>
      </c>
      <c r="B6" s="37">
        <f>B26</f>
        <v>107954.023782858</v>
      </c>
      <c r="C6" s="33"/>
      <c r="D6" s="37">
        <f>IF(ISERROR(TER_kantoor_gas_kWh/1000),0,TER_kantoor_gas_kWh/1000)*0.902</f>
        <v>173857.29189932143</v>
      </c>
      <c r="E6" s="33">
        <f>$C$26*'E Balans VL '!I12/100/3.6*1000000</f>
        <v>419.4242375948927</v>
      </c>
      <c r="F6" s="33">
        <f>$C$26*('E Balans VL '!L12+'E Balans VL '!N12)/100/3.6*1000000</f>
        <v>16418.824714072292</v>
      </c>
      <c r="G6" s="34"/>
      <c r="H6" s="33"/>
      <c r="I6" s="33"/>
      <c r="J6" s="33">
        <f>$C$26*('E Balans VL '!D12+'E Balans VL '!E12)/100/3.6*1000000</f>
        <v>0</v>
      </c>
      <c r="K6" s="33"/>
      <c r="L6" s="33"/>
      <c r="M6" s="33"/>
      <c r="N6" s="33">
        <f>$C$26*'E Balans VL '!Y12/100/3.6*1000000</f>
        <v>59.495599677914186</v>
      </c>
      <c r="O6" s="33"/>
      <c r="P6" s="33"/>
      <c r="R6" s="32"/>
    </row>
    <row r="7" spans="1:18">
      <c r="A7" s="32" t="s">
        <v>53</v>
      </c>
      <c r="B7" s="37">
        <f t="shared" ref="B7:B12" si="0">B27</f>
        <v>227958.854910925</v>
      </c>
      <c r="C7" s="33"/>
      <c r="D7" s="37">
        <f>IF(ISERROR(TER_horeca_gas_kWh/1000),0,TER_horeca_gas_kWh/1000)*0.902</f>
        <v>193917.41247212215</v>
      </c>
      <c r="E7" s="33">
        <f>$C$27*'E Balans VL '!I9/100/3.6*1000000</f>
        <v>12840.983243232506</v>
      </c>
      <c r="F7" s="33">
        <f>$C$27*('E Balans VL '!L9+'E Balans VL '!N9)/100/3.6*1000000</f>
        <v>65729.686138269681</v>
      </c>
      <c r="G7" s="34"/>
      <c r="H7" s="33"/>
      <c r="I7" s="33"/>
      <c r="J7" s="33">
        <f>$C$27*('E Balans VL '!D9+'E Balans VL '!E9)/100/3.6*1000000</f>
        <v>0</v>
      </c>
      <c r="K7" s="33"/>
      <c r="L7" s="33"/>
      <c r="M7" s="33"/>
      <c r="N7" s="33">
        <f>$C$27*'E Balans VL '!Y9/100/3.6*1000000</f>
        <v>62.938255255242247</v>
      </c>
      <c r="O7" s="33"/>
      <c r="P7" s="33"/>
      <c r="R7" s="32"/>
    </row>
    <row r="8" spans="1:18">
      <c r="A8" s="6" t="s">
        <v>52</v>
      </c>
      <c r="B8" s="37">
        <f t="shared" si="0"/>
        <v>46562.277171921298</v>
      </c>
      <c r="C8" s="33"/>
      <c r="D8" s="37">
        <f>IF(ISERROR(TER_handel_gas_kWh/1000),0,TER_handel_gas_kWh/1000)*0.902</f>
        <v>30117.148592540463</v>
      </c>
      <c r="E8" s="33">
        <f>$C$28*'E Balans VL '!I13/100/3.6*1000000</f>
        <v>671.12038413964842</v>
      </c>
      <c r="F8" s="33">
        <f>$C$28*('E Balans VL '!L13+'E Balans VL '!N13)/100/3.6*1000000</f>
        <v>8088.9519070265414</v>
      </c>
      <c r="G8" s="34"/>
      <c r="H8" s="33"/>
      <c r="I8" s="33"/>
      <c r="J8" s="33">
        <f>$C$28*('E Balans VL '!D13+'E Balans VL '!E13)/100/3.6*1000000</f>
        <v>0</v>
      </c>
      <c r="K8" s="33"/>
      <c r="L8" s="33"/>
      <c r="M8" s="33"/>
      <c r="N8" s="33">
        <f>$C$28*'E Balans VL '!Y13/100/3.6*1000000</f>
        <v>139.5057658265502</v>
      </c>
      <c r="O8" s="33"/>
      <c r="P8" s="33"/>
      <c r="R8" s="32"/>
    </row>
    <row r="9" spans="1:18">
      <c r="A9" s="32" t="s">
        <v>51</v>
      </c>
      <c r="B9" s="37">
        <f t="shared" si="0"/>
        <v>8569.5327762845409</v>
      </c>
      <c r="C9" s="33"/>
      <c r="D9" s="37">
        <f>IF(ISERROR(TER_gezond_gas_kWh/1000),0,TER_gezond_gas_kWh/1000)*0.902</f>
        <v>21907.204596114992</v>
      </c>
      <c r="E9" s="33">
        <f>$C$29*'E Balans VL '!I10/100/3.6*1000000</f>
        <v>9.1544821463986743</v>
      </c>
      <c r="F9" s="33">
        <f>$C$29*('E Balans VL '!L10+'E Balans VL '!N10)/100/3.6*1000000</f>
        <v>1397.9512336860735</v>
      </c>
      <c r="G9" s="34"/>
      <c r="H9" s="33"/>
      <c r="I9" s="33"/>
      <c r="J9" s="33">
        <f>$C$29*('E Balans VL '!D10+'E Balans VL '!E10)/100/3.6*1000000</f>
        <v>0</v>
      </c>
      <c r="K9" s="33"/>
      <c r="L9" s="33"/>
      <c r="M9" s="33"/>
      <c r="N9" s="33">
        <f>$C$29*'E Balans VL '!Y10/100/3.6*1000000</f>
        <v>88.218450253997801</v>
      </c>
      <c r="O9" s="33"/>
      <c r="P9" s="33"/>
      <c r="R9" s="32"/>
    </row>
    <row r="10" spans="1:18">
      <c r="A10" s="32" t="s">
        <v>50</v>
      </c>
      <c r="B10" s="37">
        <f t="shared" si="0"/>
        <v>23896.9327309041</v>
      </c>
      <c r="C10" s="33"/>
      <c r="D10" s="37">
        <f>IF(ISERROR(TER_ander_gas_kWh/1000),0,TER_ander_gas_kWh/1000)*0.902</f>
        <v>19968.039885100308</v>
      </c>
      <c r="E10" s="33">
        <f>$C$30*'E Balans VL '!I14/100/3.6*1000000</f>
        <v>109.89835863612082</v>
      </c>
      <c r="F10" s="33">
        <f>$C$30*('E Balans VL '!L14+'E Balans VL '!N14)/100/3.6*1000000</f>
        <v>7162.6645164584852</v>
      </c>
      <c r="G10" s="34"/>
      <c r="H10" s="33"/>
      <c r="I10" s="33"/>
      <c r="J10" s="33">
        <f>$C$30*('E Balans VL '!D14+'E Balans VL '!E14)/100/3.6*1000000</f>
        <v>0</v>
      </c>
      <c r="K10" s="33"/>
      <c r="L10" s="33"/>
      <c r="M10" s="33"/>
      <c r="N10" s="33">
        <f>$C$30*'E Balans VL '!Y14/100/3.6*1000000</f>
        <v>16633.842635608049</v>
      </c>
      <c r="O10" s="33"/>
      <c r="P10" s="33"/>
      <c r="R10" s="32"/>
    </row>
    <row r="11" spans="1:18">
      <c r="A11" s="32" t="s">
        <v>55</v>
      </c>
      <c r="B11" s="37">
        <f t="shared" si="0"/>
        <v>14884.791763221099</v>
      </c>
      <c r="C11" s="33"/>
      <c r="D11" s="37">
        <f>IF(ISERROR(TER_onderwijs_gas_kWh/1000),0,TER_onderwijs_gas_kWh/1000)*0.902</f>
        <v>15232.522963079247</v>
      </c>
      <c r="E11" s="33">
        <f>$C$31*'E Balans VL '!I11/100/3.6*1000000</f>
        <v>13.807601841166463</v>
      </c>
      <c r="F11" s="33">
        <f>$C$31*('E Balans VL '!L11+'E Balans VL '!N11)/100/3.6*1000000</f>
        <v>5228.6852440767561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19683.321584959998</v>
      </c>
      <c r="C12" s="33"/>
      <c r="D12" s="37">
        <f>IF(ISERROR(TER_rest_gas_kWh/1000),0,TER_rest_gas_kWh/1000)*0.902</f>
        <v>57659.542281060581</v>
      </c>
      <c r="E12" s="33">
        <f>$C$32*'E Balans VL '!I8/100/3.6*1000000</f>
        <v>238.74890535691756</v>
      </c>
      <c r="F12" s="33">
        <f>$C$32*('E Balans VL '!L8+'E Balans VL '!N8)/100/3.6*1000000</f>
        <v>3894.9623130669165</v>
      </c>
      <c r="G12" s="34"/>
      <c r="H12" s="33"/>
      <c r="I12" s="33"/>
      <c r="J12" s="33">
        <f>$C$32*('E Balans VL '!D8+'E Balans VL '!E8)/100/3.6*1000000</f>
        <v>0</v>
      </c>
      <c r="K12" s="33"/>
      <c r="L12" s="33"/>
      <c r="M12" s="33"/>
      <c r="N12" s="33">
        <f>$C$32*'E Balans VL '!Y8/100/3.6*1000000</f>
        <v>1562.4667836356682</v>
      </c>
      <c r="O12" s="33"/>
      <c r="P12" s="33"/>
      <c r="R12" s="32"/>
    </row>
    <row r="13" spans="1:18">
      <c r="A13" s="16" t="s">
        <v>497</v>
      </c>
      <c r="B13" s="249">
        <f ca="1">'lokale energieproductie'!N91+'lokale energieproductie'!N60</f>
        <v>1446.3</v>
      </c>
      <c r="C13" s="249">
        <f ca="1">'lokale energieproductie'!O91+'lokale energieproductie'!O60</f>
        <v>60.428571428571438</v>
      </c>
      <c r="D13" s="312">
        <f ca="1">('lokale energieproductie'!P60+'lokale energieproductie'!P91)*(-1)</f>
        <v>-120.85714285714288</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-4011.4285714285716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450956.03472107399</v>
      </c>
      <c r="C16" s="21">
        <f t="shared" ca="1" si="1"/>
        <v>60.428571428571438</v>
      </c>
      <c r="D16" s="21">
        <f t="shared" ca="1" si="1"/>
        <v>512538.30554648209</v>
      </c>
      <c r="E16" s="21">
        <f t="shared" si="1"/>
        <v>14303.137212947651</v>
      </c>
      <c r="F16" s="21">
        <f t="shared" ca="1" si="1"/>
        <v>107921.72606665676</v>
      </c>
      <c r="G16" s="21">
        <f t="shared" si="1"/>
        <v>0</v>
      </c>
      <c r="H16" s="21">
        <f t="shared" si="1"/>
        <v>0</v>
      </c>
      <c r="I16" s="21">
        <f t="shared" si="1"/>
        <v>0</v>
      </c>
      <c r="J16" s="21">
        <f t="shared" si="1"/>
        <v>0</v>
      </c>
      <c r="K16" s="21">
        <f t="shared" si="1"/>
        <v>0</v>
      </c>
      <c r="L16" s="21">
        <f t="shared" ca="1" si="1"/>
        <v>0</v>
      </c>
      <c r="M16" s="21">
        <f t="shared" si="1"/>
        <v>0</v>
      </c>
      <c r="N16" s="21">
        <f t="shared" ca="1" si="1"/>
        <v>14535.03891882885</v>
      </c>
      <c r="O16" s="21">
        <f>O5</f>
        <v>9.3800000000000008</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0.21751265048687085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98088.64236523016</v>
      </c>
      <c r="C20" s="23">
        <f t="shared" ref="C20:P20" ca="1" si="2">C16*C18</f>
        <v>14.360672268907567</v>
      </c>
      <c r="D20" s="23">
        <f t="shared" ca="1" si="2"/>
        <v>103532.73772038938</v>
      </c>
      <c r="E20" s="23">
        <f t="shared" si="2"/>
        <v>3246.812147339117</v>
      </c>
      <c r="F20" s="23">
        <f t="shared" ca="1" si="2"/>
        <v>28815.100859797356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107954.023782858</v>
      </c>
      <c r="C26" s="39">
        <f>IF(ISERROR(B26*3.6/1000000/'E Balans VL '!Z12*100),0,B26*3.6/1000000/'E Balans VL '!Z12*100)</f>
        <v>2.2929969386198295</v>
      </c>
      <c r="D26" s="239" t="s">
        <v>692</v>
      </c>
      <c r="F26" s="6"/>
    </row>
    <row r="27" spans="1:18">
      <c r="A27" s="233" t="s">
        <v>53</v>
      </c>
      <c r="B27" s="33">
        <f>IF(ISERROR(TER_horeca_ele_kWh/1000),0,TER_horeca_ele_kWh/1000)</f>
        <v>227958.854910925</v>
      </c>
      <c r="C27" s="39">
        <f>IF(ISERROR(B27*3.6/1000000/'E Balans VL '!Z9*100),0,B27*3.6/1000000/'E Balans VL '!Z9*100)</f>
        <v>17.725189256599045</v>
      </c>
      <c r="D27" s="239" t="s">
        <v>692</v>
      </c>
      <c r="F27" s="6"/>
    </row>
    <row r="28" spans="1:18">
      <c r="A28" s="173" t="s">
        <v>52</v>
      </c>
      <c r="B28" s="33">
        <f>IF(ISERROR(TER_handel_ele_kWh/1000),0,TER_handel_ele_kWh/1000)</f>
        <v>46562.277171921298</v>
      </c>
      <c r="C28" s="39">
        <f>IF(ISERROR(B28*3.6/1000000/'E Balans VL '!Z13*100),0,B28*3.6/1000000/'E Balans VL '!Z13*100)</f>
        <v>1.3322015482071454</v>
      </c>
      <c r="D28" s="239" t="s">
        <v>692</v>
      </c>
      <c r="F28" s="6"/>
    </row>
    <row r="29" spans="1:18">
      <c r="A29" s="233" t="s">
        <v>51</v>
      </c>
      <c r="B29" s="33">
        <f>IF(ISERROR(TER_gezond_ele_kWh/1000),0,TER_gezond_ele_kWh/1000)</f>
        <v>8569.5327762845409</v>
      </c>
      <c r="C29" s="39">
        <f>IF(ISERROR(B29*3.6/1000000/'E Balans VL '!Z10*100),0,B29*3.6/1000000/'E Balans VL '!Z10*100)</f>
        <v>0.93427820467446443</v>
      </c>
      <c r="D29" s="239" t="s">
        <v>692</v>
      </c>
      <c r="F29" s="6"/>
    </row>
    <row r="30" spans="1:18">
      <c r="A30" s="233" t="s">
        <v>50</v>
      </c>
      <c r="B30" s="33">
        <f>IF(ISERROR(TER_ander_ele_kWh/1000),0,TER_ander_ele_kWh/1000)</f>
        <v>23896.9327309041</v>
      </c>
      <c r="C30" s="39">
        <f>IF(ISERROR(B30*3.6/1000000/'E Balans VL '!Z14*100),0,B30*3.6/1000000/'E Balans VL '!Z14*100)</f>
        <v>1.7487233283407084</v>
      </c>
      <c r="D30" s="239" t="s">
        <v>692</v>
      </c>
      <c r="F30" s="6"/>
    </row>
    <row r="31" spans="1:18">
      <c r="A31" s="233" t="s">
        <v>55</v>
      </c>
      <c r="B31" s="33">
        <f>IF(ISERROR(TER_onderwijs_ele_kWh/1000),0,TER_onderwijs_ele_kWh/1000)</f>
        <v>14884.791763221099</v>
      </c>
      <c r="C31" s="39">
        <f>IF(ISERROR(B31*3.6/1000000/'E Balans VL '!Z11*100),0,B31*3.6/1000000/'E Balans VL '!Z11*100)</f>
        <v>2.9896214787845317</v>
      </c>
      <c r="D31" s="239" t="s">
        <v>692</v>
      </c>
    </row>
    <row r="32" spans="1:18">
      <c r="A32" s="233" t="s">
        <v>260</v>
      </c>
      <c r="B32" s="33">
        <f>IF(ISERROR(TER_rest_ele_kWh/1000),0,TER_rest_ele_kWh/1000)</f>
        <v>19683.321584959998</v>
      </c>
      <c r="C32" s="39">
        <f>IF(ISERROR(B32*3.6/1000000/'E Balans VL '!Z8*100),0,B32*3.6/1000000/'E Balans VL '!Z8*100)</f>
        <v>0.16040712571648011</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116368.93809242515</v>
      </c>
      <c r="C5" s="17">
        <f>IF(ISERROR('Eigen informatie GS &amp; warmtenet'!B59),0,'Eigen informatie GS &amp; warmtenet'!B59)</f>
        <v>0</v>
      </c>
      <c r="D5" s="30">
        <f>SUM(D6:D15)</f>
        <v>118025.26193899187</v>
      </c>
      <c r="E5" s="17">
        <f>SUM(E6:E15)</f>
        <v>14990.235340553085</v>
      </c>
      <c r="F5" s="17">
        <f>SUM(F6:F15)</f>
        <v>79968.155293267424</v>
      </c>
      <c r="G5" s="18"/>
      <c r="H5" s="17"/>
      <c r="I5" s="17"/>
      <c r="J5" s="17">
        <f>SUM(J6:J15)</f>
        <v>118.7511540655404</v>
      </c>
      <c r="K5" s="17"/>
      <c r="L5" s="17"/>
      <c r="M5" s="17"/>
      <c r="N5" s="17">
        <f>SUM(N6:N15)</f>
        <v>31956.152977796228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2995.7669846377203</v>
      </c>
      <c r="C8" s="33"/>
      <c r="D8" s="37">
        <f>IF( ISERROR(IND_metaal_Gas_kWH/1000),0,IND_metaal_Gas_kWH/1000)*0.902</f>
        <v>250.35606241046816</v>
      </c>
      <c r="E8" s="33">
        <f>C30*'E Balans VL '!I18/100/3.6*1000000</f>
        <v>86.049672528568408</v>
      </c>
      <c r="F8" s="33">
        <f>C30*'E Balans VL '!L18/100/3.6*1000000+C30*'E Balans VL '!N18/100/3.6*1000000</f>
        <v>768.35661468026467</v>
      </c>
      <c r="G8" s="34"/>
      <c r="H8" s="33"/>
      <c r="I8" s="33"/>
      <c r="J8" s="40">
        <f>C30*'E Balans VL '!D18/100/3.6*1000000+C30*'E Balans VL '!E18/100/3.6*1000000</f>
        <v>0</v>
      </c>
      <c r="K8" s="33"/>
      <c r="L8" s="33"/>
      <c r="M8" s="33"/>
      <c r="N8" s="33">
        <f>C30*'E Balans VL '!Y18/100/3.6*1000000</f>
        <v>81.341188859721129</v>
      </c>
      <c r="O8" s="33"/>
      <c r="P8" s="33"/>
      <c r="R8" s="32"/>
    </row>
    <row r="9" spans="1:18">
      <c r="A9" s="6" t="s">
        <v>33</v>
      </c>
      <c r="B9" s="37">
        <f t="shared" si="0"/>
        <v>36666.286067494599</v>
      </c>
      <c r="C9" s="33"/>
      <c r="D9" s="37">
        <f>IF( ISERROR(IND_andere_gas_kWh/1000),0,IND_andere_gas_kWh/1000)*0.902</f>
        <v>31435.367861927996</v>
      </c>
      <c r="E9" s="33">
        <f>C31*'E Balans VL '!I19/100/3.6*1000000</f>
        <v>9924.6621230122491</v>
      </c>
      <c r="F9" s="33">
        <f>C31*'E Balans VL '!L19/100/3.6*1000000+C31*'E Balans VL '!N19/100/3.6*1000000</f>
        <v>24423.626624533146</v>
      </c>
      <c r="G9" s="34"/>
      <c r="H9" s="33"/>
      <c r="I9" s="33"/>
      <c r="J9" s="40">
        <f>C31*'E Balans VL '!D19/100/3.6*1000000+C31*'E Balans VL '!E19/100/3.6*1000000</f>
        <v>0</v>
      </c>
      <c r="K9" s="33"/>
      <c r="L9" s="33"/>
      <c r="M9" s="33"/>
      <c r="N9" s="33">
        <f>C31*'E Balans VL '!Y19/100/3.6*1000000</f>
        <v>11970.933321881526</v>
      </c>
      <c r="O9" s="33"/>
      <c r="P9" s="33"/>
      <c r="R9" s="32"/>
    </row>
    <row r="10" spans="1:18">
      <c r="A10" s="6" t="s">
        <v>41</v>
      </c>
      <c r="B10" s="37">
        <f t="shared" si="0"/>
        <v>29404.490802696899</v>
      </c>
      <c r="C10" s="33"/>
      <c r="D10" s="37">
        <f>IF( ISERROR(IND_voed_gas_kWh/1000),0,IND_voed_gas_kWh/1000)*0.902</f>
        <v>7863.9387484646595</v>
      </c>
      <c r="E10" s="33">
        <f>C32*'E Balans VL '!I20/100/3.6*1000000</f>
        <v>2398.2978249277039</v>
      </c>
      <c r="F10" s="33">
        <f>C32*'E Balans VL '!L20/100/3.6*1000000+C32*'E Balans VL '!N20/100/3.6*1000000</f>
        <v>43844.763595983582</v>
      </c>
      <c r="G10" s="34"/>
      <c r="H10" s="33"/>
      <c r="I10" s="33"/>
      <c r="J10" s="40">
        <f>C32*'E Balans VL '!D20/100/3.6*1000000+C32*'E Balans VL '!E20/100/3.6*1000000</f>
        <v>0.3889857210559845</v>
      </c>
      <c r="K10" s="33"/>
      <c r="L10" s="33"/>
      <c r="M10" s="33"/>
      <c r="N10" s="33">
        <f>C32*'E Balans VL '!Y20/100/3.6*1000000</f>
        <v>8638.0018252311547</v>
      </c>
      <c r="O10" s="33"/>
      <c r="P10" s="33"/>
      <c r="R10" s="32"/>
    </row>
    <row r="11" spans="1:18">
      <c r="A11" s="6" t="s">
        <v>40</v>
      </c>
      <c r="B11" s="37">
        <f t="shared" si="0"/>
        <v>113.1187867925</v>
      </c>
      <c r="C11" s="33"/>
      <c r="D11" s="37">
        <f>IF( ISERROR(IND_textiel_gas_kWh/1000),0,IND_textiel_gas_kWh/1000)*0.902</f>
        <v>202.17220640655714</v>
      </c>
      <c r="E11" s="33">
        <f>C33*'E Balans VL '!I21/100/3.6*1000000</f>
        <v>2.2422457919818183E-2</v>
      </c>
      <c r="F11" s="33">
        <f>C33*'E Balans VL '!L21/100/3.6*1000000+C33*'E Balans VL '!N21/100/3.6*1000000</f>
        <v>4.1663013958197217</v>
      </c>
      <c r="G11" s="34"/>
      <c r="H11" s="33"/>
      <c r="I11" s="33"/>
      <c r="J11" s="40">
        <f>C33*'E Balans VL '!D21/100/3.6*1000000+C33*'E Balans VL '!E21/100/3.6*1000000</f>
        <v>0</v>
      </c>
      <c r="K11" s="33"/>
      <c r="L11" s="33"/>
      <c r="M11" s="33"/>
      <c r="N11" s="33">
        <f>C33*'E Balans VL '!Y21/100/3.6*1000000</f>
        <v>0.52597380266969496</v>
      </c>
      <c r="O11" s="33"/>
      <c r="P11" s="33"/>
      <c r="R11" s="32"/>
    </row>
    <row r="12" spans="1:18">
      <c r="A12" s="6" t="s">
        <v>37</v>
      </c>
      <c r="B12" s="37">
        <f t="shared" si="0"/>
        <v>54.910702944952099</v>
      </c>
      <c r="C12" s="33"/>
      <c r="D12" s="37">
        <f>IF( ISERROR(IND_min_gas_kWh/1000),0,IND_min_gas_kWh/1000)*0.902</f>
        <v>76.720618523137261</v>
      </c>
      <c r="E12" s="33">
        <f>C34*'E Balans VL '!I22/100/3.6*1000000</f>
        <v>0.42774241140828206</v>
      </c>
      <c r="F12" s="33">
        <f>C34*'E Balans VL '!L22/100/3.6*1000000+C34*'E Balans VL '!N22/100/3.6*1000000</f>
        <v>20.708942785079262</v>
      </c>
      <c r="G12" s="34"/>
      <c r="H12" s="33"/>
      <c r="I12" s="33"/>
      <c r="J12" s="40">
        <f>C34*'E Balans VL '!D22/100/3.6*1000000+C34*'E Balans VL '!E22/100/3.6*1000000</f>
        <v>0.30200406519373058</v>
      </c>
      <c r="K12" s="33"/>
      <c r="L12" s="33"/>
      <c r="M12" s="33"/>
      <c r="N12" s="33">
        <f>C34*'E Balans VL '!Y22/100/3.6*1000000</f>
        <v>0</v>
      </c>
      <c r="O12" s="33"/>
      <c r="P12" s="33"/>
      <c r="R12" s="32"/>
    </row>
    <row r="13" spans="1:18">
      <c r="A13" s="6" t="s">
        <v>39</v>
      </c>
      <c r="B13" s="37">
        <f t="shared" si="0"/>
        <v>1040.86966544294</v>
      </c>
      <c r="C13" s="33"/>
      <c r="D13" s="37">
        <f>IF( ISERROR(IND_papier_gas_kWh/1000),0,IND_papier_gas_kWh/1000)*0.902</f>
        <v>1177.0376933001453</v>
      </c>
      <c r="E13" s="33">
        <f>C35*'E Balans VL '!I23/100/3.6*1000000</f>
        <v>10.905005978628463</v>
      </c>
      <c r="F13" s="33">
        <f>C35*'E Balans VL '!L23/100/3.6*1000000+C35*'E Balans VL '!N23/100/3.6*1000000</f>
        <v>77.66987892537125</v>
      </c>
      <c r="G13" s="34"/>
      <c r="H13" s="33"/>
      <c r="I13" s="33"/>
      <c r="J13" s="40">
        <f>C35*'E Balans VL '!D23/100/3.6*1000000+C35*'E Balans VL '!E23/100/3.6*1000000</f>
        <v>0</v>
      </c>
      <c r="K13" s="33"/>
      <c r="L13" s="33"/>
      <c r="M13" s="33"/>
      <c r="N13" s="33">
        <f>C35*'E Balans VL '!Y23/100/3.6*1000000</f>
        <v>2224.7502672095993</v>
      </c>
      <c r="O13" s="33"/>
      <c r="P13" s="33"/>
      <c r="R13" s="32"/>
    </row>
    <row r="14" spans="1:18">
      <c r="A14" s="6" t="s">
        <v>34</v>
      </c>
      <c r="B14" s="37">
        <f t="shared" si="0"/>
        <v>31.3539958123472</v>
      </c>
      <c r="C14" s="33"/>
      <c r="D14" s="37">
        <f>IF( ISERROR(IND_chemie_gas_kWh/1000),0,IND_chemie_gas_kWh/1000)*0.902</f>
        <v>0</v>
      </c>
      <c r="E14" s="33">
        <f>C36*'E Balans VL '!I24/100/3.6*1000000</f>
        <v>0.14821770107096482</v>
      </c>
      <c r="F14" s="33">
        <f>C36*'E Balans VL '!L24/100/3.6*1000000+C36*'E Balans VL '!N24/100/3.6*1000000</f>
        <v>0.59257369124951209</v>
      </c>
      <c r="G14" s="34"/>
      <c r="H14" s="33"/>
      <c r="I14" s="33"/>
      <c r="J14" s="40">
        <f>C36*'E Balans VL '!D24/100/3.6*1000000+C36*'E Balans VL '!E24/100/3.6*1000000</f>
        <v>0</v>
      </c>
      <c r="K14" s="33"/>
      <c r="L14" s="33"/>
      <c r="M14" s="33"/>
      <c r="N14" s="33">
        <f>C36*'E Balans VL '!Y24/100/3.6*1000000</f>
        <v>0.76116894677909552</v>
      </c>
      <c r="O14" s="33"/>
      <c r="P14" s="33"/>
      <c r="R14" s="32"/>
    </row>
    <row r="15" spans="1:18">
      <c r="A15" s="6" t="s">
        <v>270</v>
      </c>
      <c r="B15" s="37">
        <f t="shared" si="0"/>
        <v>46062.141086603202</v>
      </c>
      <c r="C15" s="33"/>
      <c r="D15" s="37">
        <f>IF( ISERROR(IND_rest_gas_kWh/1000),0,IND_rest_gas_kWh/1000)*0.902</f>
        <v>77019.668747958902</v>
      </c>
      <c r="E15" s="33">
        <f>C37*'E Balans VL '!I15/100/3.6*1000000</f>
        <v>2569.7223315355377</v>
      </c>
      <c r="F15" s="33">
        <f>C37*'E Balans VL '!L15/100/3.6*1000000+C37*'E Balans VL '!N15/100/3.6*1000000</f>
        <v>10828.27076127291</v>
      </c>
      <c r="G15" s="34"/>
      <c r="H15" s="33"/>
      <c r="I15" s="33"/>
      <c r="J15" s="40">
        <f>C37*'E Balans VL '!D15/100/3.6*1000000+C37*'E Balans VL '!E15/100/3.6*1000000</f>
        <v>118.06016427929069</v>
      </c>
      <c r="K15" s="33"/>
      <c r="L15" s="33"/>
      <c r="M15" s="33"/>
      <c r="N15" s="33">
        <f>C37*'E Balans VL '!Y15/100/3.6*1000000</f>
        <v>9039.8392318647784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116368.93809242515</v>
      </c>
      <c r="C18" s="21">
        <f>C5+C16</f>
        <v>0</v>
      </c>
      <c r="D18" s="21">
        <f>MAX((D5+D16),0)</f>
        <v>118025.26193899187</v>
      </c>
      <c r="E18" s="21">
        <f>MAX((E5+E16),0)</f>
        <v>14990.235340553085</v>
      </c>
      <c r="F18" s="21">
        <f>MAX((F5+F16),0)</f>
        <v>79968.155293267424</v>
      </c>
      <c r="G18" s="21"/>
      <c r="H18" s="21"/>
      <c r="I18" s="21"/>
      <c r="J18" s="21">
        <f>MAX((J5+J16),0)</f>
        <v>118.7511540655404</v>
      </c>
      <c r="K18" s="21"/>
      <c r="L18" s="21">
        <f>MAX((L5+L16),0)</f>
        <v>0</v>
      </c>
      <c r="M18" s="21"/>
      <c r="N18" s="21">
        <f>MAX((N5+N16),0)</f>
        <v>31956.152977796228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0.21751265048687085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25311.716158825981</v>
      </c>
      <c r="C22" s="23">
        <f ca="1">C18*C20</f>
        <v>0</v>
      </c>
      <c r="D22" s="23">
        <f>D18*D20</f>
        <v>23841.10291167636</v>
      </c>
      <c r="E22" s="23">
        <f>E18*E20</f>
        <v>3402.7834223055502</v>
      </c>
      <c r="F22" s="23">
        <f>F18*F20</f>
        <v>21351.497463302403</v>
      </c>
      <c r="G22" s="23"/>
      <c r="H22" s="23"/>
      <c r="I22" s="23"/>
      <c r="J22" s="23">
        <f>J18*J20</f>
        <v>42.037908539201304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2995.7669846377203</v>
      </c>
      <c r="C30" s="39">
        <f>IF(ISERROR(B30*3.6/1000000/'E Balans VL '!Z18*100),0,B30*3.6/1000000/'E Balans VL '!Z18*100)</f>
        <v>0.29477582390987728</v>
      </c>
      <c r="D30" s="239" t="s">
        <v>692</v>
      </c>
    </row>
    <row r="31" spans="1:18">
      <c r="A31" s="6" t="s">
        <v>33</v>
      </c>
      <c r="B31" s="37">
        <f>IF( ISERROR(IND_ander_ele_kWh/1000),0,IND_ander_ele_kWh/1000)</f>
        <v>36666.286067494599</v>
      </c>
      <c r="C31" s="39">
        <f>IF(ISERROR(B31*3.6/1000000/'E Balans VL '!Z19*100),0,B31*3.6/1000000/'E Balans VL '!Z19*100)</f>
        <v>1.5967875098311095</v>
      </c>
      <c r="D31" s="239" t="s">
        <v>692</v>
      </c>
    </row>
    <row r="32" spans="1:18">
      <c r="A32" s="173" t="s">
        <v>41</v>
      </c>
      <c r="B32" s="37">
        <f>IF( ISERROR(IND_voed_ele_kWh/1000),0,IND_voed_ele_kWh/1000)</f>
        <v>29404.490802696899</v>
      </c>
      <c r="C32" s="39">
        <f>IF(ISERROR(B32*3.6/1000000/'E Balans VL '!Z20*100),0,B32*3.6/1000000/'E Balans VL '!Z20*100)</f>
        <v>5.5790780709222672</v>
      </c>
      <c r="D32" s="239" t="s">
        <v>692</v>
      </c>
    </row>
    <row r="33" spans="1:5">
      <c r="A33" s="173" t="s">
        <v>40</v>
      </c>
      <c r="B33" s="37">
        <f>IF( ISERROR(IND_textiel_ele_kWh/1000),0,IND_textiel_ele_kWh/1000)</f>
        <v>113.1187867925</v>
      </c>
      <c r="C33" s="39">
        <f>IF(ISERROR(B33*3.6/1000000/'E Balans VL '!Z21*100),0,B33*3.6/1000000/'E Balans VL '!Z21*100)</f>
        <v>6.4585090715973178E-3</v>
      </c>
      <c r="D33" s="239" t="s">
        <v>692</v>
      </c>
    </row>
    <row r="34" spans="1:5">
      <c r="A34" s="173" t="s">
        <v>37</v>
      </c>
      <c r="B34" s="37">
        <f>IF( ISERROR(IND_min_ele_kWh/1000),0,IND_min_ele_kWh/1000)</f>
        <v>54.910702944952099</v>
      </c>
      <c r="C34" s="39">
        <f>IF(ISERROR(B34*3.6/1000000/'E Balans VL '!Z22*100),0,B34*3.6/1000000/'E Balans VL '!Z22*100)</f>
        <v>7.7209962301524257E-3</v>
      </c>
      <c r="D34" s="239" t="s">
        <v>692</v>
      </c>
    </row>
    <row r="35" spans="1:5">
      <c r="A35" s="173" t="s">
        <v>39</v>
      </c>
      <c r="B35" s="37">
        <f>IF( ISERROR(IND_papier_ele_kWh/1000),0,IND_papier_ele_kWh/1000)</f>
        <v>1040.86966544294</v>
      </c>
      <c r="C35" s="39">
        <f>IF(ISERROR(B35*3.6/1000000/'E Balans VL '!Z22*100),0,B35*3.6/1000000/'E Balans VL '!Z22*100)</f>
        <v>0.14635672704867003</v>
      </c>
      <c r="D35" s="239" t="s">
        <v>692</v>
      </c>
    </row>
    <row r="36" spans="1:5">
      <c r="A36" s="173" t="s">
        <v>34</v>
      </c>
      <c r="B36" s="37">
        <f>IF( ISERROR(IND_chemie_ele_kWh/1000),0,IND_chemie_ele_kWh/1000)</f>
        <v>31.3539958123472</v>
      </c>
      <c r="C36" s="39">
        <f>IF(ISERROR(B36*3.6/1000000/'E Balans VL '!Z24*100),0,B36*3.6/1000000/'E Balans VL '!Z24*100)</f>
        <v>9.1374808722448125E-4</v>
      </c>
      <c r="D36" s="239" t="s">
        <v>692</v>
      </c>
    </row>
    <row r="37" spans="1:5">
      <c r="A37" s="173" t="s">
        <v>270</v>
      </c>
      <c r="B37" s="37">
        <f>IF( ISERROR(IND_rest_ele_kWh/1000),0,IND_rest_ele_kWh/1000)</f>
        <v>46062.141086603202</v>
      </c>
      <c r="C37" s="39">
        <f>IF(ISERROR(B37*3.6/1000000/'E Balans VL '!Z15*100),0,B37*3.6/1000000/'E Balans VL '!Z15*100)</f>
        <v>0.35496537304345471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1421.1123904596373</v>
      </c>
      <c r="C5" s="17">
        <f>'Eigen informatie GS &amp; warmtenet'!B60</f>
        <v>0</v>
      </c>
      <c r="D5" s="30">
        <f>IF(ISERROR(SUM(LB_lb_gas_kWh,LB_rest_gas_kWh)/1000),0,SUM(LB_lb_gas_kWh,LB_rest_gas_kWh)/1000)*0.902</f>
        <v>1373.1657849217454</v>
      </c>
      <c r="E5" s="17">
        <f>B17*'E Balans VL '!I25/3.6*1000000/100</f>
        <v>17.907846884782533</v>
      </c>
      <c r="F5" s="17">
        <f>B17*('E Balans VL '!L25/3.6*1000000+'E Balans VL '!N25/3.6*1000000)/100</f>
        <v>4903.1937570120244</v>
      </c>
      <c r="G5" s="18"/>
      <c r="H5" s="17"/>
      <c r="I5" s="17"/>
      <c r="J5" s="17">
        <f>('E Balans VL '!D25+'E Balans VL '!E25)/3.6*1000000*landbouw!B17/100</f>
        <v>213.71914888962485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1421.1123904596373</v>
      </c>
      <c r="C8" s="21">
        <f>C5+C6</f>
        <v>0</v>
      </c>
      <c r="D8" s="21">
        <f>MAX((D5+D6),0)</f>
        <v>1373.1657849217454</v>
      </c>
      <c r="E8" s="21">
        <f>MAX((E5+E6),0)</f>
        <v>17.907846884782533</v>
      </c>
      <c r="F8" s="21">
        <f>MAX((F5+F6),0)</f>
        <v>4903.1937570120244</v>
      </c>
      <c r="G8" s="21"/>
      <c r="H8" s="21"/>
      <c r="I8" s="21"/>
      <c r="J8" s="21">
        <f>MAX((J5+J6),0)</f>
        <v>213.71914888962485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0.21751265048687085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309.10992268860861</v>
      </c>
      <c r="C12" s="23">
        <f ca="1">C8*C10</f>
        <v>0</v>
      </c>
      <c r="D12" s="23">
        <f>D8*D10</f>
        <v>277.37948855419256</v>
      </c>
      <c r="E12" s="23">
        <f>E8*E10</f>
        <v>4.0650812428456353</v>
      </c>
      <c r="F12" s="23">
        <f>F8*F10</f>
        <v>1309.1527331222105</v>
      </c>
      <c r="G12" s="23"/>
      <c r="H12" s="23"/>
      <c r="I12" s="23"/>
      <c r="J12" s="23">
        <f>J8*J10</f>
        <v>75.656578706927192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0.19820038760651595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50.986773361546163</v>
      </c>
      <c r="C26" s="249">
        <f>B26*'GWP N2O_CH4'!B5</f>
        <v>1070.7222405924695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7.0567862265877839</v>
      </c>
      <c r="C27" s="249">
        <f>B27*'GWP N2O_CH4'!B5</f>
        <v>148.19251075834347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0.65001605137692242</v>
      </c>
      <c r="C28" s="249">
        <f>B28*'GWP N2O_CH4'!B4</f>
        <v>201.50497592684596</v>
      </c>
      <c r="D28" s="50"/>
    </row>
    <row r="29" spans="1:4">
      <c r="A29" s="41" t="s">
        <v>277</v>
      </c>
      <c r="B29" s="249">
        <f>B34*'ha_N2O bodem landbouw'!B4</f>
        <v>6.5105902021565871</v>
      </c>
      <c r="C29" s="249">
        <f>B29*'GWP N2O_CH4'!B4</f>
        <v>2018.282962668542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1.6256293178454834E-3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1.2710332249254129E-4</v>
      </c>
      <c r="C5" s="448" t="s">
        <v>211</v>
      </c>
      <c r="D5" s="433">
        <f>SUM(D6:D11)</f>
        <v>2.084469339543459E-4</v>
      </c>
      <c r="E5" s="433">
        <f>SUM(E6:E11)</f>
        <v>7.2346823773370376E-3</v>
      </c>
      <c r="F5" s="446" t="s">
        <v>211</v>
      </c>
      <c r="G5" s="433">
        <f>SUM(G6:G11)</f>
        <v>1.5713747165657543</v>
      </c>
      <c r="H5" s="433">
        <f>SUM(H6:H11)</f>
        <v>0.31925907459555891</v>
      </c>
      <c r="I5" s="448" t="s">
        <v>211</v>
      </c>
      <c r="J5" s="448" t="s">
        <v>211</v>
      </c>
      <c r="K5" s="448" t="s">
        <v>211</v>
      </c>
      <c r="L5" s="448" t="s">
        <v>211</v>
      </c>
      <c r="M5" s="433">
        <f>SUM(M6:M11)</f>
        <v>8.548793209398467E-2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3.4191893420017219E-5</v>
      </c>
      <c r="C6" s="887"/>
      <c r="D6" s="887">
        <f>vkm_2011_GW_PW*SUMIFS(TableVerdeelsleutelVkm[CNG],TableVerdeelsleutelVkm[Voertuigtype],"Lichte voertuigen")*SUMIFS(TableECFTransport[EnergieConsumptieFactor (PJ per km)],TableECFTransport[Index],CONCATENATE($A6,"_CNG_CNG"))</f>
        <v>4.842240835426855E-5</v>
      </c>
      <c r="E6" s="887">
        <f>vkm_2011_GW_PW*SUMIFS(TableVerdeelsleutelVkm[LPG],TableVerdeelsleutelVkm[Voertuigtype],"Lichte voertuigen")*SUMIFS(TableECFTransport[EnergieConsumptieFactor (PJ per km)],TableECFTransport[Index],CONCATENATE($A6,"_LPG_LPG"))</f>
        <v>1.5207884356307955E-3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0.27332732417146838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7.3240255868079363E-2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1.567982469959079E-2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5.2748621151303833E-2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1.8741038262630886E-5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2.3803783346867998E-3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2.1676167471967914E-5</v>
      </c>
      <c r="C8" s="887"/>
      <c r="D8" s="436">
        <f>vkm_2011_NGW_PW*SUMIFS(TableVerdeelsleutelVkm[CNG],TableVerdeelsleutelVkm[Voertuigtype],"Lichte voertuigen")*SUMIFS(TableECFTransport[EnergieConsumptieFactor (PJ per km)],TableECFTransport[Index],CONCATENATE($A8,"_CNG_CNG"))</f>
        <v>5.4688462758529591E-5</v>
      </c>
      <c r="E8" s="436">
        <f>vkm_2011_NGW_PW*SUMIFS(TableVerdeelsleutelVkm[LPG],TableVerdeelsleutelVkm[Voertuigtype],"Lichte voertuigen")*SUMIFS(TableECFTransport[EnergieConsumptieFactor (PJ per km)],TableECFTransport[Index],CONCATENATE($A8,"_LPG_LPG"))</f>
        <v>1.5820142611713082E-3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0.26816675805544349</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7.98145785545748E-2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1.5747725488992271E-2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4.6981494816783547E-3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1.5795525102774886E-6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2.1200851701177583E-4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7.1235261600556164E-5</v>
      </c>
      <c r="C10" s="887"/>
      <c r="D10" s="436">
        <f>vkm_2011_SW_PW*SUMIFS(TableVerdeelsleutelVkm[CNG],TableVerdeelsleutelVkm[Voertuigtype],"Lichte voertuigen")*SUMIFS(TableECFTransport[EnergieConsumptieFactor (PJ per km)],TableECFTransport[Index],CONCATENATE($A10,"_CNG_CNG"))</f>
        <v>1.0533606284154776E-4</v>
      </c>
      <c r="E10" s="436">
        <f>vkm_2011_SW_PW*SUMIFS(TableVerdeelsleutelVkm[LPG],TableVerdeelsleutelVkm[Voertuigtype],"Lichte voertuigen")*SUMIFS(TableECFTransport[EnergieConsumptieFactor (PJ per km)],TableECFTransport[Index],CONCATENATE($A10,"_LPG_LPG"))</f>
        <v>4.1318796805349337E-3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0.67254854217293081</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0.16606902033820739</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3.7934737509775766E-2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0.29988532153292946</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1.1489924392441173E-4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1.3533257543927271E-2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35.30647847015036</v>
      </c>
      <c r="C14" s="21"/>
      <c r="D14" s="21">
        <f t="shared" ref="D14:M14" si="0">((D5)*10^9/3600)+D12</f>
        <v>57.901926098429421</v>
      </c>
      <c r="E14" s="21">
        <f t="shared" si="0"/>
        <v>2009.6339937047326</v>
      </c>
      <c r="F14" s="21"/>
      <c r="G14" s="21">
        <f t="shared" si="0"/>
        <v>436492.97682382067</v>
      </c>
      <c r="H14" s="21">
        <f t="shared" si="0"/>
        <v>88683.076276544132</v>
      </c>
      <c r="I14" s="21"/>
      <c r="J14" s="21"/>
      <c r="K14" s="21"/>
      <c r="L14" s="21"/>
      <c r="M14" s="21">
        <f t="shared" si="0"/>
        <v>23746.647803884629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0.21751265048687085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7.679605711400046</v>
      </c>
      <c r="C18" s="23"/>
      <c r="D18" s="23">
        <f t="shared" ref="D18:M18" si="1">D14*D16</f>
        <v>11.696189071882744</v>
      </c>
      <c r="E18" s="23">
        <f t="shared" si="1"/>
        <v>456.18691657097429</v>
      </c>
      <c r="F18" s="23"/>
      <c r="G18" s="23">
        <f t="shared" si="1"/>
        <v>116543.62481196012</v>
      </c>
      <c r="H18" s="23">
        <f t="shared" si="1"/>
        <v>22082.085992859487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8.7790161795124444E-2</v>
      </c>
      <c r="H50" s="323">
        <f t="shared" si="2"/>
        <v>0</v>
      </c>
      <c r="I50" s="323">
        <f t="shared" si="2"/>
        <v>0</v>
      </c>
      <c r="J50" s="323">
        <f t="shared" si="2"/>
        <v>0</v>
      </c>
      <c r="K50" s="323">
        <f t="shared" si="2"/>
        <v>0</v>
      </c>
      <c r="L50" s="323">
        <f t="shared" si="2"/>
        <v>0</v>
      </c>
      <c r="M50" s="323">
        <f t="shared" si="2"/>
        <v>3.904243222423779E-3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8.7790161795124444E-2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3.904243222423779E-3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24386.156054201234</v>
      </c>
      <c r="H54" s="21">
        <f t="shared" si="3"/>
        <v>0</v>
      </c>
      <c r="I54" s="21">
        <f t="shared" si="3"/>
        <v>0</v>
      </c>
      <c r="J54" s="21">
        <f t="shared" si="3"/>
        <v>0</v>
      </c>
      <c r="K54" s="21">
        <f t="shared" si="3"/>
        <v>0</v>
      </c>
      <c r="L54" s="21">
        <f t="shared" si="3"/>
        <v>0</v>
      </c>
      <c r="M54" s="21">
        <f t="shared" si="3"/>
        <v>1084.5120062288274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0.21751265048687085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6511.1036664717294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456496.93172107398</v>
      </c>
      <c r="D10" s="690">
        <f ca="1">tertiair!C16</f>
        <v>60.428571428571438</v>
      </c>
      <c r="E10" s="690">
        <f ca="1">tertiair!D16</f>
        <v>512538.30554648209</v>
      </c>
      <c r="F10" s="690">
        <f>tertiair!E16</f>
        <v>14303.137212947651</v>
      </c>
      <c r="G10" s="690">
        <f ca="1">tertiair!F16</f>
        <v>107921.72606665676</v>
      </c>
      <c r="H10" s="690">
        <f>tertiair!G16</f>
        <v>0</v>
      </c>
      <c r="I10" s="690">
        <f>tertiair!H16</f>
        <v>0</v>
      </c>
      <c r="J10" s="690">
        <f>tertiair!I16</f>
        <v>0</v>
      </c>
      <c r="K10" s="690">
        <f>tertiair!J16</f>
        <v>0</v>
      </c>
      <c r="L10" s="690">
        <f>tertiair!K16</f>
        <v>0</v>
      </c>
      <c r="M10" s="690">
        <f ca="1">tertiair!L16</f>
        <v>0</v>
      </c>
      <c r="N10" s="690">
        <f>tertiair!M16</f>
        <v>0</v>
      </c>
      <c r="O10" s="690">
        <f ca="1">tertiair!N16</f>
        <v>14535.03891882885</v>
      </c>
      <c r="P10" s="690">
        <f>tertiair!O16</f>
        <v>9.3800000000000008</v>
      </c>
      <c r="Q10" s="691">
        <f>tertiair!P16</f>
        <v>247.86666666666667</v>
      </c>
      <c r="R10" s="693">
        <f ca="1">SUM(C10:Q10)</f>
        <v>1106112.8147040845</v>
      </c>
      <c r="S10" s="67"/>
    </row>
    <row r="11" spans="1:19" s="458" customFormat="1">
      <c r="A11" s="805" t="s">
        <v>225</v>
      </c>
      <c r="B11" s="810"/>
      <c r="C11" s="690">
        <f>huishoudens!B8</f>
        <v>150841.227617342</v>
      </c>
      <c r="D11" s="690">
        <f>huishoudens!C8</f>
        <v>0</v>
      </c>
      <c r="E11" s="690">
        <f>huishoudens!D8</f>
        <v>450630.15072730382</v>
      </c>
      <c r="F11" s="690">
        <f>huishoudens!E8</f>
        <v>15260.769953720765</v>
      </c>
      <c r="G11" s="690">
        <f>huishoudens!F8</f>
        <v>139239.67224490966</v>
      </c>
      <c r="H11" s="690">
        <f>huishoudens!G8</f>
        <v>0</v>
      </c>
      <c r="I11" s="690">
        <f>huishoudens!H8</f>
        <v>0</v>
      </c>
      <c r="J11" s="690">
        <f>huishoudens!I8</f>
        <v>0</v>
      </c>
      <c r="K11" s="690">
        <f>huishoudens!J8</f>
        <v>0</v>
      </c>
      <c r="L11" s="690">
        <f>huishoudens!K8</f>
        <v>0</v>
      </c>
      <c r="M11" s="690">
        <f>huishoudens!L8</f>
        <v>0</v>
      </c>
      <c r="N11" s="690">
        <f>huishoudens!M8</f>
        <v>0</v>
      </c>
      <c r="O11" s="690">
        <f>huishoudens!N8</f>
        <v>24242.168734594372</v>
      </c>
      <c r="P11" s="690">
        <f>huishoudens!O8</f>
        <v>587.81333333333339</v>
      </c>
      <c r="Q11" s="691">
        <f>huishoudens!P8</f>
        <v>724.5333333333333</v>
      </c>
      <c r="R11" s="693">
        <f>SUM(C11:Q11)</f>
        <v>781526.33594453731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116368.93809242515</v>
      </c>
      <c r="D13" s="690">
        <f>industrie!C18</f>
        <v>0</v>
      </c>
      <c r="E13" s="690">
        <f>industrie!D18</f>
        <v>118025.26193899187</v>
      </c>
      <c r="F13" s="690">
        <f>industrie!E18</f>
        <v>14990.235340553085</v>
      </c>
      <c r="G13" s="690">
        <f>industrie!F18</f>
        <v>79968.155293267424</v>
      </c>
      <c r="H13" s="690">
        <f>industrie!G18</f>
        <v>0</v>
      </c>
      <c r="I13" s="690">
        <f>industrie!H18</f>
        <v>0</v>
      </c>
      <c r="J13" s="690">
        <f>industrie!I18</f>
        <v>0</v>
      </c>
      <c r="K13" s="690">
        <f>industrie!J18</f>
        <v>118.7511540655404</v>
      </c>
      <c r="L13" s="690">
        <f>industrie!K18</f>
        <v>0</v>
      </c>
      <c r="M13" s="690">
        <f>industrie!L18</f>
        <v>0</v>
      </c>
      <c r="N13" s="690">
        <f>industrie!M18</f>
        <v>0</v>
      </c>
      <c r="O13" s="690">
        <f>industrie!N18</f>
        <v>31956.152977796228</v>
      </c>
      <c r="P13" s="690">
        <f>industrie!O18</f>
        <v>0</v>
      </c>
      <c r="Q13" s="691">
        <f>industrie!P18</f>
        <v>0</v>
      </c>
      <c r="R13" s="693">
        <f>SUM(C13:Q13)</f>
        <v>361427.49479709927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723707.09743084107</v>
      </c>
      <c r="D16" s="725">
        <f t="shared" ref="D16:R16" ca="1" si="0">SUM(D9:D15)</f>
        <v>60.428571428571438</v>
      </c>
      <c r="E16" s="725">
        <f t="shared" ca="1" si="0"/>
        <v>1081193.7182127777</v>
      </c>
      <c r="F16" s="725">
        <f t="shared" si="0"/>
        <v>44554.142507221506</v>
      </c>
      <c r="G16" s="725">
        <f t="shared" ca="1" si="0"/>
        <v>327129.55360483384</v>
      </c>
      <c r="H16" s="725">
        <f t="shared" si="0"/>
        <v>0</v>
      </c>
      <c r="I16" s="725">
        <f t="shared" si="0"/>
        <v>0</v>
      </c>
      <c r="J16" s="725">
        <f t="shared" si="0"/>
        <v>0</v>
      </c>
      <c r="K16" s="725">
        <f t="shared" si="0"/>
        <v>118.7511540655404</v>
      </c>
      <c r="L16" s="725">
        <f t="shared" si="0"/>
        <v>0</v>
      </c>
      <c r="M16" s="725">
        <f t="shared" ca="1" si="0"/>
        <v>0</v>
      </c>
      <c r="N16" s="725">
        <f t="shared" si="0"/>
        <v>0</v>
      </c>
      <c r="O16" s="725">
        <f t="shared" ca="1" si="0"/>
        <v>70733.360631219446</v>
      </c>
      <c r="P16" s="725">
        <f t="shared" si="0"/>
        <v>597.19333333333338</v>
      </c>
      <c r="Q16" s="725">
        <f t="shared" si="0"/>
        <v>972.4</v>
      </c>
      <c r="R16" s="725">
        <f t="shared" ca="1" si="0"/>
        <v>2249066.6454457212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24386.156054201234</v>
      </c>
      <c r="I19" s="690">
        <f>transport!H54</f>
        <v>0</v>
      </c>
      <c r="J19" s="690">
        <f>transport!I54</f>
        <v>0</v>
      </c>
      <c r="K19" s="690">
        <f>transport!J54</f>
        <v>0</v>
      </c>
      <c r="L19" s="690">
        <f>transport!K54</f>
        <v>0</v>
      </c>
      <c r="M19" s="690">
        <f>transport!L54</f>
        <v>0</v>
      </c>
      <c r="N19" s="690">
        <f>transport!M54</f>
        <v>1084.5120062288274</v>
      </c>
      <c r="O19" s="690">
        <f>transport!N54</f>
        <v>0</v>
      </c>
      <c r="P19" s="690">
        <f>transport!O54</f>
        <v>0</v>
      </c>
      <c r="Q19" s="691">
        <f>transport!P54</f>
        <v>0</v>
      </c>
      <c r="R19" s="693">
        <f>SUM(C19:Q19)</f>
        <v>25470.66806043006</v>
      </c>
      <c r="S19" s="67"/>
    </row>
    <row r="20" spans="1:19" s="458" customFormat="1">
      <c r="A20" s="805" t="s">
        <v>307</v>
      </c>
      <c r="B20" s="810"/>
      <c r="C20" s="690">
        <f>transport!B14</f>
        <v>35.30647847015036</v>
      </c>
      <c r="D20" s="690">
        <f>transport!C14</f>
        <v>0</v>
      </c>
      <c r="E20" s="690">
        <f>transport!D14</f>
        <v>57.901926098429421</v>
      </c>
      <c r="F20" s="690">
        <f>transport!E14</f>
        <v>2009.6339937047326</v>
      </c>
      <c r="G20" s="690">
        <f>transport!F14</f>
        <v>0</v>
      </c>
      <c r="H20" s="690">
        <f>transport!G14</f>
        <v>436492.97682382067</v>
      </c>
      <c r="I20" s="690">
        <f>transport!H14</f>
        <v>88683.076276544132</v>
      </c>
      <c r="J20" s="690">
        <f>transport!I14</f>
        <v>0</v>
      </c>
      <c r="K20" s="690">
        <f>transport!J14</f>
        <v>0</v>
      </c>
      <c r="L20" s="690">
        <f>transport!K14</f>
        <v>0</v>
      </c>
      <c r="M20" s="690">
        <f>transport!L14</f>
        <v>0</v>
      </c>
      <c r="N20" s="690">
        <f>transport!M14</f>
        <v>23746.647803884629</v>
      </c>
      <c r="O20" s="690">
        <f>transport!N14</f>
        <v>0</v>
      </c>
      <c r="P20" s="690">
        <f>transport!O14</f>
        <v>0</v>
      </c>
      <c r="Q20" s="691">
        <f>transport!P14</f>
        <v>0</v>
      </c>
      <c r="R20" s="693">
        <f>SUM(C20:Q20)</f>
        <v>551025.54330252262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35.30647847015036</v>
      </c>
      <c r="D22" s="808">
        <f t="shared" ref="D22:R22" si="1">SUM(D18:D21)</f>
        <v>0</v>
      </c>
      <c r="E22" s="808">
        <f t="shared" si="1"/>
        <v>57.901926098429421</v>
      </c>
      <c r="F22" s="808">
        <f t="shared" si="1"/>
        <v>2009.6339937047326</v>
      </c>
      <c r="G22" s="808">
        <f t="shared" si="1"/>
        <v>0</v>
      </c>
      <c r="H22" s="808">
        <f t="shared" si="1"/>
        <v>460879.13287802192</v>
      </c>
      <c r="I22" s="808">
        <f t="shared" si="1"/>
        <v>88683.076276544132</v>
      </c>
      <c r="J22" s="808">
        <f t="shared" si="1"/>
        <v>0</v>
      </c>
      <c r="K22" s="808">
        <f t="shared" si="1"/>
        <v>0</v>
      </c>
      <c r="L22" s="808">
        <f t="shared" si="1"/>
        <v>0</v>
      </c>
      <c r="M22" s="808">
        <f t="shared" si="1"/>
        <v>0</v>
      </c>
      <c r="N22" s="808">
        <f t="shared" si="1"/>
        <v>24831.159810113455</v>
      </c>
      <c r="O22" s="808">
        <f t="shared" si="1"/>
        <v>0</v>
      </c>
      <c r="P22" s="808">
        <f t="shared" si="1"/>
        <v>0</v>
      </c>
      <c r="Q22" s="808">
        <f t="shared" si="1"/>
        <v>0</v>
      </c>
      <c r="R22" s="808">
        <f t="shared" si="1"/>
        <v>576496.21136295272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1421.1123904596373</v>
      </c>
      <c r="D24" s="690">
        <f>+landbouw!C8</f>
        <v>0</v>
      </c>
      <c r="E24" s="690">
        <f>+landbouw!D8</f>
        <v>1373.1657849217454</v>
      </c>
      <c r="F24" s="690">
        <f>+landbouw!E8</f>
        <v>17.907846884782533</v>
      </c>
      <c r="G24" s="690">
        <f>+landbouw!F8</f>
        <v>4903.1937570120244</v>
      </c>
      <c r="H24" s="690">
        <f>+landbouw!G8</f>
        <v>0</v>
      </c>
      <c r="I24" s="690">
        <f>+landbouw!H8</f>
        <v>0</v>
      </c>
      <c r="J24" s="690">
        <f>+landbouw!I8</f>
        <v>0</v>
      </c>
      <c r="K24" s="690">
        <f>+landbouw!J8</f>
        <v>213.71914888962485</v>
      </c>
      <c r="L24" s="690">
        <f>+landbouw!K8</f>
        <v>0</v>
      </c>
      <c r="M24" s="690">
        <f>+landbouw!L8</f>
        <v>0</v>
      </c>
      <c r="N24" s="690">
        <f>+landbouw!M8</f>
        <v>0</v>
      </c>
      <c r="O24" s="690">
        <f>+landbouw!N8</f>
        <v>0</v>
      </c>
      <c r="P24" s="690">
        <f>+landbouw!O8</f>
        <v>0</v>
      </c>
      <c r="Q24" s="691">
        <f>+landbouw!P8</f>
        <v>0</v>
      </c>
      <c r="R24" s="693">
        <f>SUM(C24:Q24)</f>
        <v>7929.0989281678148</v>
      </c>
      <c r="S24" s="67"/>
    </row>
    <row r="25" spans="1:19" s="458" customFormat="1" ht="15" thickBot="1">
      <c r="A25" s="827" t="s">
        <v>872</v>
      </c>
      <c r="B25" s="1004"/>
      <c r="C25" s="1005">
        <f>IF(Onbekend_ele_kWh="---",0,Onbekend_ele_kWh)/1000+IF(REST_rest_ele_kWh="---",0,REST_rest_ele_kWh)/1000</f>
        <v>18173.8668168269</v>
      </c>
      <c r="D25" s="1005"/>
      <c r="E25" s="1005">
        <f>IF(onbekend_gas_kWh="---",0,onbekend_gas_kWh)/1000+IF(REST_rest_gas_kWh="---",0,REST_rest_gas_kWh)/1000</f>
        <v>40541.611913348897</v>
      </c>
      <c r="F25" s="1005"/>
      <c r="G25" s="1005"/>
      <c r="H25" s="1005"/>
      <c r="I25" s="1005"/>
      <c r="J25" s="1005"/>
      <c r="K25" s="1005"/>
      <c r="L25" s="1005"/>
      <c r="M25" s="1005"/>
      <c r="N25" s="1005"/>
      <c r="O25" s="1005"/>
      <c r="P25" s="1005"/>
      <c r="Q25" s="1006"/>
      <c r="R25" s="693">
        <f>SUM(C25:Q25)</f>
        <v>58715.478730175797</v>
      </c>
      <c r="S25" s="67"/>
    </row>
    <row r="26" spans="1:19" s="458" customFormat="1" ht="15.75" thickBot="1">
      <c r="A26" s="698" t="s">
        <v>873</v>
      </c>
      <c r="B26" s="813"/>
      <c r="C26" s="808">
        <f>SUM(C24:C25)</f>
        <v>19594.979207286538</v>
      </c>
      <c r="D26" s="808">
        <f t="shared" ref="D26:R26" si="2">SUM(D24:D25)</f>
        <v>0</v>
      </c>
      <c r="E26" s="808">
        <f t="shared" si="2"/>
        <v>41914.777698270642</v>
      </c>
      <c r="F26" s="808">
        <f t="shared" si="2"/>
        <v>17.907846884782533</v>
      </c>
      <c r="G26" s="808">
        <f t="shared" si="2"/>
        <v>4903.1937570120244</v>
      </c>
      <c r="H26" s="808">
        <f t="shared" si="2"/>
        <v>0</v>
      </c>
      <c r="I26" s="808">
        <f t="shared" si="2"/>
        <v>0</v>
      </c>
      <c r="J26" s="808">
        <f t="shared" si="2"/>
        <v>0</v>
      </c>
      <c r="K26" s="808">
        <f t="shared" si="2"/>
        <v>213.71914888962485</v>
      </c>
      <c r="L26" s="808">
        <f t="shared" si="2"/>
        <v>0</v>
      </c>
      <c r="M26" s="808">
        <f t="shared" si="2"/>
        <v>0</v>
      </c>
      <c r="N26" s="808">
        <f t="shared" si="2"/>
        <v>0</v>
      </c>
      <c r="O26" s="808">
        <f t="shared" si="2"/>
        <v>0</v>
      </c>
      <c r="P26" s="808">
        <f t="shared" si="2"/>
        <v>0</v>
      </c>
      <c r="Q26" s="808">
        <f t="shared" si="2"/>
        <v>0</v>
      </c>
      <c r="R26" s="808">
        <f t="shared" si="2"/>
        <v>66644.577658343609</v>
      </c>
      <c r="S26" s="67"/>
    </row>
    <row r="27" spans="1:19" s="458" customFormat="1" ht="17.25" thickTop="1" thickBot="1">
      <c r="A27" s="699" t="s">
        <v>116</v>
      </c>
      <c r="B27" s="800"/>
      <c r="C27" s="700">
        <f ca="1">C22+C16+C26</f>
        <v>743337.38311659766</v>
      </c>
      <c r="D27" s="700">
        <f t="shared" ref="D27:R27" ca="1" si="3">D22+D16+D26</f>
        <v>60.428571428571438</v>
      </c>
      <c r="E27" s="700">
        <f t="shared" ca="1" si="3"/>
        <v>1123166.3978371469</v>
      </c>
      <c r="F27" s="700">
        <f t="shared" si="3"/>
        <v>46581.684347811017</v>
      </c>
      <c r="G27" s="700">
        <f t="shared" ca="1" si="3"/>
        <v>332032.74736184586</v>
      </c>
      <c r="H27" s="700">
        <f t="shared" si="3"/>
        <v>460879.13287802192</v>
      </c>
      <c r="I27" s="700">
        <f t="shared" si="3"/>
        <v>88683.076276544132</v>
      </c>
      <c r="J27" s="700">
        <f t="shared" si="3"/>
        <v>0</v>
      </c>
      <c r="K27" s="700">
        <f t="shared" si="3"/>
        <v>332.47030295516527</v>
      </c>
      <c r="L27" s="700">
        <f t="shared" si="3"/>
        <v>0</v>
      </c>
      <c r="M27" s="700">
        <f t="shared" ca="1" si="3"/>
        <v>0</v>
      </c>
      <c r="N27" s="700">
        <f t="shared" si="3"/>
        <v>24831.159810113455</v>
      </c>
      <c r="O27" s="700">
        <f t="shared" ca="1" si="3"/>
        <v>70733.360631219446</v>
      </c>
      <c r="P27" s="700">
        <f t="shared" si="3"/>
        <v>597.19333333333338</v>
      </c>
      <c r="Q27" s="700">
        <f t="shared" si="3"/>
        <v>972.4</v>
      </c>
      <c r="R27" s="700">
        <f t="shared" ca="1" si="3"/>
        <v>2892207.4344670177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99293.857557774914</v>
      </c>
      <c r="D40" s="690">
        <f ca="1">tertiair!C20</f>
        <v>14.360672268907567</v>
      </c>
      <c r="E40" s="690">
        <f ca="1">tertiair!D20</f>
        <v>103532.73772038938</v>
      </c>
      <c r="F40" s="690">
        <f>tertiair!E20</f>
        <v>3246.812147339117</v>
      </c>
      <c r="G40" s="690">
        <f ca="1">tertiair!F20</f>
        <v>28815.100859797356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234902.86895756968</v>
      </c>
    </row>
    <row r="41" spans="1:18">
      <c r="A41" s="818" t="s">
        <v>225</v>
      </c>
      <c r="B41" s="825"/>
      <c r="C41" s="690">
        <f ca="1">huishoudens!B12</f>
        <v>32809.875221741444</v>
      </c>
      <c r="D41" s="690">
        <f ca="1">huishoudens!C12</f>
        <v>0</v>
      </c>
      <c r="E41" s="690">
        <f>huishoudens!D12</f>
        <v>91027.290446915373</v>
      </c>
      <c r="F41" s="690">
        <f>huishoudens!E12</f>
        <v>3464.1947794946136</v>
      </c>
      <c r="G41" s="690">
        <f>huishoudens!F12</f>
        <v>37176.992489390883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164478.35293754231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25311.716158825981</v>
      </c>
      <c r="D43" s="690">
        <f ca="1">industrie!C22</f>
        <v>0</v>
      </c>
      <c r="E43" s="690">
        <f>industrie!D22</f>
        <v>23841.10291167636</v>
      </c>
      <c r="F43" s="690">
        <f>industrie!E22</f>
        <v>3402.7834223055502</v>
      </c>
      <c r="G43" s="690">
        <f>industrie!F22</f>
        <v>21351.497463302403</v>
      </c>
      <c r="H43" s="690">
        <f>industrie!G22</f>
        <v>0</v>
      </c>
      <c r="I43" s="690">
        <f>industrie!H22</f>
        <v>0</v>
      </c>
      <c r="J43" s="690">
        <f>industrie!I22</f>
        <v>0</v>
      </c>
      <c r="K43" s="690">
        <f>industrie!J22</f>
        <v>42.037908539201304</v>
      </c>
      <c r="L43" s="690">
        <f>industrie!K22</f>
        <v>0</v>
      </c>
      <c r="M43" s="690">
        <f>industrie!L22</f>
        <v>0</v>
      </c>
      <c r="N43" s="690">
        <f>industrie!M22</f>
        <v>0</v>
      </c>
      <c r="O43" s="690">
        <f>industrie!N22</f>
        <v>0</v>
      </c>
      <c r="P43" s="690">
        <f>industrie!O22</f>
        <v>0</v>
      </c>
      <c r="Q43" s="767">
        <f>industrie!P22</f>
        <v>0</v>
      </c>
      <c r="R43" s="845">
        <f t="shared" ca="1" si="4"/>
        <v>73949.1378646495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157415.44893834236</v>
      </c>
      <c r="D46" s="725">
        <f t="shared" ref="D46:Q46" ca="1" si="5">SUM(D39:D45)</f>
        <v>14.360672268907567</v>
      </c>
      <c r="E46" s="725">
        <f t="shared" ca="1" si="5"/>
        <v>218401.13107898113</v>
      </c>
      <c r="F46" s="725">
        <f t="shared" si="5"/>
        <v>10113.790349139281</v>
      </c>
      <c r="G46" s="725">
        <f t="shared" ca="1" si="5"/>
        <v>87343.590812490642</v>
      </c>
      <c r="H46" s="725">
        <f t="shared" si="5"/>
        <v>0</v>
      </c>
      <c r="I46" s="725">
        <f t="shared" si="5"/>
        <v>0</v>
      </c>
      <c r="J46" s="725">
        <f t="shared" si="5"/>
        <v>0</v>
      </c>
      <c r="K46" s="725">
        <f t="shared" si="5"/>
        <v>42.037908539201304</v>
      </c>
      <c r="L46" s="725">
        <f t="shared" si="5"/>
        <v>0</v>
      </c>
      <c r="M46" s="725">
        <f t="shared" ca="1" si="5"/>
        <v>0</v>
      </c>
      <c r="N46" s="725">
        <f t="shared" si="5"/>
        <v>0</v>
      </c>
      <c r="O46" s="725">
        <f t="shared" ca="1" si="5"/>
        <v>0</v>
      </c>
      <c r="P46" s="725">
        <f t="shared" si="5"/>
        <v>0</v>
      </c>
      <c r="Q46" s="725">
        <f t="shared" si="5"/>
        <v>0</v>
      </c>
      <c r="R46" s="725">
        <f ca="1">SUM(R39:R45)</f>
        <v>473330.35975976149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6511.1036664717294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6511.1036664717294</v>
      </c>
    </row>
    <row r="50" spans="1:18">
      <c r="A50" s="821" t="s">
        <v>307</v>
      </c>
      <c r="B50" s="831"/>
      <c r="C50" s="696">
        <f ca="1">transport!B18</f>
        <v>7.679605711400046</v>
      </c>
      <c r="D50" s="696">
        <f>transport!C18</f>
        <v>0</v>
      </c>
      <c r="E50" s="696">
        <f>transport!D18</f>
        <v>11.696189071882744</v>
      </c>
      <c r="F50" s="696">
        <f>transport!E18</f>
        <v>456.18691657097429</v>
      </c>
      <c r="G50" s="696">
        <f>transport!F18</f>
        <v>0</v>
      </c>
      <c r="H50" s="696">
        <f>transport!G18</f>
        <v>116543.62481196012</v>
      </c>
      <c r="I50" s="696">
        <f>transport!H18</f>
        <v>22082.085992859487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139101.27351617388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7.679605711400046</v>
      </c>
      <c r="D52" s="725">
        <f t="shared" ref="D52:Q52" ca="1" si="6">SUM(D48:D51)</f>
        <v>0</v>
      </c>
      <c r="E52" s="725">
        <f t="shared" si="6"/>
        <v>11.696189071882744</v>
      </c>
      <c r="F52" s="725">
        <f t="shared" si="6"/>
        <v>456.18691657097429</v>
      </c>
      <c r="G52" s="725">
        <f t="shared" si="6"/>
        <v>0</v>
      </c>
      <c r="H52" s="725">
        <f t="shared" si="6"/>
        <v>123054.72847843185</v>
      </c>
      <c r="I52" s="725">
        <f t="shared" si="6"/>
        <v>22082.085992859487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145612.37718264561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309.10992268860861</v>
      </c>
      <c r="D54" s="696">
        <f ca="1">+landbouw!C12</f>
        <v>0</v>
      </c>
      <c r="E54" s="696">
        <f>+landbouw!D12</f>
        <v>277.37948855419256</v>
      </c>
      <c r="F54" s="696">
        <f>+landbouw!E12</f>
        <v>4.0650812428456353</v>
      </c>
      <c r="G54" s="696">
        <f>+landbouw!F12</f>
        <v>1309.1527331222105</v>
      </c>
      <c r="H54" s="696">
        <f>+landbouw!G12</f>
        <v>0</v>
      </c>
      <c r="I54" s="696">
        <f>+landbouw!H12</f>
        <v>0</v>
      </c>
      <c r="J54" s="696">
        <f>+landbouw!I12</f>
        <v>0</v>
      </c>
      <c r="K54" s="696">
        <f>+landbouw!J12</f>
        <v>75.656578706927192</v>
      </c>
      <c r="L54" s="696">
        <f>+landbouw!K12</f>
        <v>0</v>
      </c>
      <c r="M54" s="696">
        <f>+landbouw!L12</f>
        <v>0</v>
      </c>
      <c r="N54" s="696">
        <f>+landbouw!M12</f>
        <v>0</v>
      </c>
      <c r="O54" s="696">
        <f>+landbouw!N12</f>
        <v>0</v>
      </c>
      <c r="P54" s="696">
        <f>+landbouw!O12</f>
        <v>0</v>
      </c>
      <c r="Q54" s="697">
        <f>+landbouw!P12</f>
        <v>0</v>
      </c>
      <c r="R54" s="724">
        <f ca="1">SUM(C54:Q54)</f>
        <v>1975.3638043147844</v>
      </c>
    </row>
    <row r="55" spans="1:18" ht="15" thickBot="1">
      <c r="A55" s="821" t="s">
        <v>872</v>
      </c>
      <c r="B55" s="831"/>
      <c r="C55" s="696">
        <f ca="1">C25*'EF ele_warmte'!B12</f>
        <v>3953.0459409234095</v>
      </c>
      <c r="D55" s="696"/>
      <c r="E55" s="696">
        <f>E25*EF_CO2_aardgas</f>
        <v>8189.405606496478</v>
      </c>
      <c r="F55" s="696"/>
      <c r="G55" s="696"/>
      <c r="H55" s="696"/>
      <c r="I55" s="696"/>
      <c r="J55" s="696"/>
      <c r="K55" s="696"/>
      <c r="L55" s="696"/>
      <c r="M55" s="696"/>
      <c r="N55" s="696"/>
      <c r="O55" s="696"/>
      <c r="P55" s="696"/>
      <c r="Q55" s="697"/>
      <c r="R55" s="724">
        <f ca="1">SUM(C55:Q55)</f>
        <v>12142.451547419887</v>
      </c>
    </row>
    <row r="56" spans="1:18" ht="15.75" thickBot="1">
      <c r="A56" s="819" t="s">
        <v>873</v>
      </c>
      <c r="B56" s="832"/>
      <c r="C56" s="725">
        <f ca="1">SUM(C54:C55)</f>
        <v>4262.155863612018</v>
      </c>
      <c r="D56" s="725">
        <f t="shared" ref="D56:Q56" ca="1" si="7">SUM(D54:D55)</f>
        <v>0</v>
      </c>
      <c r="E56" s="725">
        <f t="shared" si="7"/>
        <v>8466.7850950506709</v>
      </c>
      <c r="F56" s="725">
        <f t="shared" si="7"/>
        <v>4.0650812428456353</v>
      </c>
      <c r="G56" s="725">
        <f t="shared" si="7"/>
        <v>1309.1527331222105</v>
      </c>
      <c r="H56" s="725">
        <f t="shared" si="7"/>
        <v>0</v>
      </c>
      <c r="I56" s="725">
        <f t="shared" si="7"/>
        <v>0</v>
      </c>
      <c r="J56" s="725">
        <f t="shared" si="7"/>
        <v>0</v>
      </c>
      <c r="K56" s="725">
        <f t="shared" si="7"/>
        <v>75.656578706927192</v>
      </c>
      <c r="L56" s="725">
        <f t="shared" si="7"/>
        <v>0</v>
      </c>
      <c r="M56" s="725">
        <f t="shared" si="7"/>
        <v>0</v>
      </c>
      <c r="N56" s="725">
        <f t="shared" si="7"/>
        <v>0</v>
      </c>
      <c r="O56" s="725">
        <f t="shared" si="7"/>
        <v>0</v>
      </c>
      <c r="P56" s="725">
        <f t="shared" si="7"/>
        <v>0</v>
      </c>
      <c r="Q56" s="726">
        <f t="shared" si="7"/>
        <v>0</v>
      </c>
      <c r="R56" s="727">
        <f ca="1">SUM(R54:R55)</f>
        <v>14117.815351734671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161685.28440766578</v>
      </c>
      <c r="D61" s="733">
        <f t="shared" ref="D61:Q61" ca="1" si="8">D46+D52+D56</f>
        <v>14.360672268907567</v>
      </c>
      <c r="E61" s="733">
        <f t="shared" ca="1" si="8"/>
        <v>226879.61236310369</v>
      </c>
      <c r="F61" s="733">
        <f t="shared" si="8"/>
        <v>10574.0423469531</v>
      </c>
      <c r="G61" s="733">
        <f t="shared" ca="1" si="8"/>
        <v>88652.743545612859</v>
      </c>
      <c r="H61" s="733">
        <f t="shared" si="8"/>
        <v>123054.72847843185</v>
      </c>
      <c r="I61" s="733">
        <f t="shared" si="8"/>
        <v>22082.085992859487</v>
      </c>
      <c r="J61" s="733">
        <f t="shared" si="8"/>
        <v>0</v>
      </c>
      <c r="K61" s="733">
        <f t="shared" si="8"/>
        <v>117.69448724612849</v>
      </c>
      <c r="L61" s="733">
        <f t="shared" si="8"/>
        <v>0</v>
      </c>
      <c r="M61" s="733">
        <f t="shared" ca="1" si="8"/>
        <v>0</v>
      </c>
      <c r="N61" s="733">
        <f t="shared" si="8"/>
        <v>0</v>
      </c>
      <c r="O61" s="733">
        <f t="shared" ca="1" si="8"/>
        <v>0</v>
      </c>
      <c r="P61" s="733">
        <f t="shared" si="8"/>
        <v>0</v>
      </c>
      <c r="Q61" s="733">
        <f t="shared" si="8"/>
        <v>0</v>
      </c>
      <c r="R61" s="733">
        <f ca="1">R46+R52+R56</f>
        <v>633060.55229414173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0.21751265048687093</v>
      </c>
      <c r="D63" s="776">
        <f t="shared" ca="1" si="9"/>
        <v>0.23764705882352946</v>
      </c>
      <c r="E63" s="1011">
        <f t="shared" ca="1" si="9"/>
        <v>0.20200000000000001</v>
      </c>
      <c r="F63" s="776">
        <f t="shared" si="9"/>
        <v>0.22699999999999998</v>
      </c>
      <c r="G63" s="776">
        <f t="shared" ca="1" si="9"/>
        <v>0.26700000000000002</v>
      </c>
      <c r="H63" s="776">
        <f t="shared" si="9"/>
        <v>0.26700000000000002</v>
      </c>
      <c r="I63" s="776">
        <f t="shared" si="9"/>
        <v>0.24899999999999997</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63.898654708520183</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10265.048999999999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42.300000000000004</v>
      </c>
      <c r="D76" s="1021">
        <f>'lokale energieproductie'!C8</f>
        <v>49.764705882352949</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10.052470588235296</v>
      </c>
      <c r="R76" s="848">
        <v>0</v>
      </c>
    </row>
    <row r="77" spans="1:18" ht="30.75" thickBot="1">
      <c r="A77" s="746" t="s">
        <v>353</v>
      </c>
      <c r="B77" s="743">
        <f>'lokale energieproductie'!B9*IFERROR(SUM(I77:O77)/SUM(D77:O77),0)</f>
        <v>1404</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4011.4285714285716</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11732.94765470852</v>
      </c>
      <c r="C78" s="748">
        <f>SUM(C72:C77)</f>
        <v>42.300000000000004</v>
      </c>
      <c r="D78" s="749">
        <f t="shared" ref="D78:H78" si="10">SUM(D76:D77)</f>
        <v>49.764705882352949</v>
      </c>
      <c r="E78" s="749">
        <f t="shared" si="10"/>
        <v>0</v>
      </c>
      <c r="F78" s="749">
        <f t="shared" si="10"/>
        <v>0</v>
      </c>
      <c r="G78" s="749">
        <f t="shared" si="10"/>
        <v>0</v>
      </c>
      <c r="H78" s="749">
        <f t="shared" si="10"/>
        <v>0</v>
      </c>
      <c r="I78" s="749">
        <f>SUM(I76:I77)</f>
        <v>0</v>
      </c>
      <c r="J78" s="749">
        <f>SUM(J76:J77)</f>
        <v>4011.4285714285716</v>
      </c>
      <c r="K78" s="749">
        <f t="shared" ref="K78:L78" si="11">SUM(K76:K77)</f>
        <v>0</v>
      </c>
      <c r="L78" s="749">
        <f t="shared" si="11"/>
        <v>0</v>
      </c>
      <c r="M78" s="749">
        <f>SUM(M76:M77)</f>
        <v>0</v>
      </c>
      <c r="N78" s="749">
        <f>SUM(N76:N77)</f>
        <v>0</v>
      </c>
      <c r="O78" s="856">
        <f>SUM(O76:O77)</f>
        <v>0</v>
      </c>
      <c r="P78" s="750">
        <v>0</v>
      </c>
      <c r="Q78" s="750">
        <f>SUM(Q76:Q77)</f>
        <v>10.052470588235296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60.428571428571438</v>
      </c>
      <c r="D87" s="770">
        <f>'lokale energieproductie'!C17</f>
        <v>71.092436974789933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14.360672268907567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60.428571428571438</v>
      </c>
      <c r="D90" s="748">
        <f t="shared" ref="D90:H90" si="12">SUM(D87:D89)</f>
        <v>71.092436974789933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14.360672268907567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63.898654708520183</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10265.048999999999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42.300000000000004</v>
      </c>
      <c r="C8" s="560">
        <f>B101</f>
        <v>49.764705882352949</v>
      </c>
      <c r="D8" s="1028"/>
      <c r="E8" s="1028">
        <f>E101</f>
        <v>0</v>
      </c>
      <c r="F8" s="1029"/>
      <c r="G8" s="561"/>
      <c r="H8" s="1028">
        <f>I101</f>
        <v>0</v>
      </c>
      <c r="I8" s="1028">
        <f>G101+F101</f>
        <v>0</v>
      </c>
      <c r="J8" s="1028">
        <f>H101+D101+C101</f>
        <v>0</v>
      </c>
      <c r="K8" s="1028"/>
      <c r="L8" s="1028"/>
      <c r="M8" s="1028"/>
      <c r="N8" s="562"/>
      <c r="O8" s="563">
        <f>C8*$C$12+D8*$D$12+E8*$E$12+F8*$F$12+G8*$G$12+H8*$H$12+I8*$I$12+J8*$J$12</f>
        <v>10.052470588235296</v>
      </c>
      <c r="P8" s="1245"/>
      <c r="Q8" s="1246"/>
      <c r="S8" s="1040"/>
      <c r="T8" s="1266"/>
      <c r="U8" s="1266"/>
    </row>
    <row r="9" spans="1:21" s="548" customFormat="1" ht="17.45" customHeight="1" thickBot="1">
      <c r="A9" s="564" t="s">
        <v>248</v>
      </c>
      <c r="B9" s="565">
        <f>N89+'Eigen informatie GS &amp; warmtenet'!B12</f>
        <v>1404</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11775.247654708519</v>
      </c>
      <c r="C10" s="573">
        <f t="shared" ref="C10:L10" si="0">SUM(C8:C9)</f>
        <v>49.764705882352949</v>
      </c>
      <c r="D10" s="573">
        <f t="shared" si="0"/>
        <v>0</v>
      </c>
      <c r="E10" s="573">
        <f t="shared" si="0"/>
        <v>0</v>
      </c>
      <c r="F10" s="573">
        <f t="shared" si="0"/>
        <v>0</v>
      </c>
      <c r="G10" s="573">
        <f t="shared" si="0"/>
        <v>0</v>
      </c>
      <c r="H10" s="573">
        <f t="shared" si="0"/>
        <v>0</v>
      </c>
      <c r="I10" s="573">
        <f t="shared" si="0"/>
        <v>0</v>
      </c>
      <c r="J10" s="573">
        <f t="shared" si="0"/>
        <v>4011.4285714285716</v>
      </c>
      <c r="K10" s="573">
        <f t="shared" si="0"/>
        <v>0</v>
      </c>
      <c r="L10" s="573">
        <f t="shared" si="0"/>
        <v>0</v>
      </c>
      <c r="M10" s="1031"/>
      <c r="N10" s="1031"/>
      <c r="O10" s="574">
        <f>SUM(O4:O9)</f>
        <v>10.052470588235296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60.428571428571438</v>
      </c>
      <c r="C17" s="585">
        <f>B102</f>
        <v>71.092436974789933</v>
      </c>
      <c r="D17" s="586"/>
      <c r="E17" s="586">
        <f>E102</f>
        <v>0</v>
      </c>
      <c r="F17" s="1034"/>
      <c r="G17" s="587"/>
      <c r="H17" s="585">
        <f>I102</f>
        <v>0</v>
      </c>
      <c r="I17" s="586">
        <f>G102+F102</f>
        <v>0</v>
      </c>
      <c r="J17" s="586">
        <f>H102+D102+C102</f>
        <v>0</v>
      </c>
      <c r="K17" s="586"/>
      <c r="L17" s="586"/>
      <c r="M17" s="586"/>
      <c r="N17" s="1035"/>
      <c r="O17" s="588">
        <f>C17*$C$22+E17*$E$22+H17*$H$22+I17*$I$22+J17*$J$22+D17*$D$22+F17*$F$22+G17*$G$22+K17*$K$22+L17*$L$22</f>
        <v>14.360672268907567</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60.428571428571438</v>
      </c>
      <c r="C20" s="572">
        <f>SUM(C17:C19)</f>
        <v>71.092436974789933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14.360672268907567</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51">
      <c r="A28" s="596"/>
      <c r="B28" s="791">
        <v>24062</v>
      </c>
      <c r="C28" s="791">
        <v>3001</v>
      </c>
      <c r="D28" s="644" t="s">
        <v>913</v>
      </c>
      <c r="E28" s="643" t="s">
        <v>914</v>
      </c>
      <c r="F28" s="643" t="s">
        <v>915</v>
      </c>
      <c r="G28" s="643" t="s">
        <v>916</v>
      </c>
      <c r="H28" s="643" t="s">
        <v>917</v>
      </c>
      <c r="I28" s="643" t="s">
        <v>914</v>
      </c>
      <c r="J28" s="790">
        <v>40940</v>
      </c>
      <c r="K28" s="790">
        <v>41244</v>
      </c>
      <c r="L28" s="643" t="s">
        <v>918</v>
      </c>
      <c r="M28" s="643">
        <v>9.4</v>
      </c>
      <c r="N28" s="643">
        <v>42.300000000000004</v>
      </c>
      <c r="O28" s="643">
        <v>60.428571428571438</v>
      </c>
      <c r="P28" s="643">
        <v>120.85714285714288</v>
      </c>
      <c r="Q28" s="643">
        <v>0</v>
      </c>
      <c r="R28" s="643">
        <v>0</v>
      </c>
      <c r="S28" s="643">
        <v>0</v>
      </c>
      <c r="T28" s="643">
        <v>0</v>
      </c>
      <c r="U28" s="643">
        <v>0</v>
      </c>
      <c r="V28" s="643">
        <v>0</v>
      </c>
      <c r="W28" s="643">
        <v>0</v>
      </c>
      <c r="X28" s="643">
        <v>1500</v>
      </c>
      <c r="Y28" s="643" t="s">
        <v>51</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9.4</v>
      </c>
      <c r="N58" s="601">
        <f>SUM(N28:N57)</f>
        <v>42.300000000000004</v>
      </c>
      <c r="O58" s="601">
        <f t="shared" ref="O58:W58" si="2">SUM(O28:O57)</f>
        <v>60.428571428571438</v>
      </c>
      <c r="P58" s="601">
        <f t="shared" si="2"/>
        <v>120.85714285714288</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9.4</v>
      </c>
      <c r="N60" s="601">
        <f ca="1">SUMIF($Z$28:AD57,"tertiair",N28:N57)</f>
        <v>42.300000000000004</v>
      </c>
      <c r="O60" s="601">
        <f ca="1">SUMIF($Z$28:AE57,"tertiair",O28:O57)</f>
        <v>60.428571428571438</v>
      </c>
      <c r="P60" s="601">
        <f ca="1">SUMIF($Z$28:AF57,"tertiair",P28:P57)</f>
        <v>120.85714285714288</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24062</v>
      </c>
      <c r="C64" s="791">
        <v>3010</v>
      </c>
      <c r="D64" s="646" t="s">
        <v>919</v>
      </c>
      <c r="E64" s="646" t="s">
        <v>920</v>
      </c>
      <c r="F64" s="646" t="s">
        <v>921</v>
      </c>
      <c r="G64" s="646" t="s">
        <v>922</v>
      </c>
      <c r="H64" s="646" t="s">
        <v>923</v>
      </c>
      <c r="I64" s="646" t="s">
        <v>924</v>
      </c>
      <c r="J64" s="790">
        <v>36898</v>
      </c>
      <c r="K64" s="790">
        <v>37316</v>
      </c>
      <c r="L64" s="646" t="s">
        <v>925</v>
      </c>
      <c r="M64" s="646">
        <v>312</v>
      </c>
      <c r="N64" s="646">
        <v>1404</v>
      </c>
      <c r="O64" s="646">
        <v>0</v>
      </c>
      <c r="P64" s="646">
        <v>0</v>
      </c>
      <c r="Q64" s="646">
        <v>4011.4285714285716</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312</v>
      </c>
      <c r="N89" s="601">
        <f t="shared" ref="N89:W89" si="5">SUM(N64:N88)</f>
        <v>1404</v>
      </c>
      <c r="O89" s="601">
        <f t="shared" si="5"/>
        <v>0</v>
      </c>
      <c r="P89" s="601">
        <f t="shared" si="5"/>
        <v>0</v>
      </c>
      <c r="Q89" s="601">
        <f t="shared" si="5"/>
        <v>4011.4285714285716</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312</v>
      </c>
      <c r="N91" s="601">
        <f t="shared" si="7"/>
        <v>1404</v>
      </c>
      <c r="O91" s="601">
        <f t="shared" si="7"/>
        <v>0</v>
      </c>
      <c r="P91" s="601">
        <f t="shared" si="7"/>
        <v>0</v>
      </c>
      <c r="Q91" s="601">
        <f t="shared" si="7"/>
        <v>4011.4285714285716</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49.764705882352949</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71.092436974789933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150841.227617342</v>
      </c>
      <c r="C4" s="462">
        <f>huishoudens!C8</f>
        <v>0</v>
      </c>
      <c r="D4" s="462">
        <f>huishoudens!D8</f>
        <v>450630.15072730382</v>
      </c>
      <c r="E4" s="462">
        <f>huishoudens!E8</f>
        <v>15260.769953720765</v>
      </c>
      <c r="F4" s="462">
        <f>huishoudens!F8</f>
        <v>139239.67224490966</v>
      </c>
      <c r="G4" s="462">
        <f>huishoudens!G8</f>
        <v>0</v>
      </c>
      <c r="H4" s="462">
        <f>huishoudens!H8</f>
        <v>0</v>
      </c>
      <c r="I4" s="462">
        <f>huishoudens!I8</f>
        <v>0</v>
      </c>
      <c r="J4" s="462">
        <f>huishoudens!J8</f>
        <v>0</v>
      </c>
      <c r="K4" s="462">
        <f>huishoudens!K8</f>
        <v>0</v>
      </c>
      <c r="L4" s="462">
        <f>huishoudens!L8</f>
        <v>0</v>
      </c>
      <c r="M4" s="462">
        <f>huishoudens!M8</f>
        <v>0</v>
      </c>
      <c r="N4" s="462">
        <f>huishoudens!N8</f>
        <v>24242.168734594372</v>
      </c>
      <c r="O4" s="462">
        <f>huishoudens!O8</f>
        <v>587.81333333333339</v>
      </c>
      <c r="P4" s="463">
        <f>huishoudens!P8</f>
        <v>724.5333333333333</v>
      </c>
      <c r="Q4" s="464">
        <f>SUM(B4:P4)</f>
        <v>781526.33594453731</v>
      </c>
    </row>
    <row r="5" spans="1:17">
      <c r="A5" s="461" t="s">
        <v>156</v>
      </c>
      <c r="B5" s="462">
        <f ca="1">tertiair!B16</f>
        <v>450956.03472107399</v>
      </c>
      <c r="C5" s="462">
        <f ca="1">tertiair!C16</f>
        <v>60.428571428571438</v>
      </c>
      <c r="D5" s="462">
        <f ca="1">tertiair!D16</f>
        <v>512538.30554648209</v>
      </c>
      <c r="E5" s="462">
        <f>tertiair!E16</f>
        <v>14303.137212947651</v>
      </c>
      <c r="F5" s="462">
        <f ca="1">tertiair!F16</f>
        <v>107921.72606665676</v>
      </c>
      <c r="G5" s="462">
        <f>tertiair!G16</f>
        <v>0</v>
      </c>
      <c r="H5" s="462">
        <f>tertiair!H16</f>
        <v>0</v>
      </c>
      <c r="I5" s="462">
        <f>tertiair!I16</f>
        <v>0</v>
      </c>
      <c r="J5" s="462">
        <f>tertiair!J16</f>
        <v>0</v>
      </c>
      <c r="K5" s="462">
        <f>tertiair!K16</f>
        <v>0</v>
      </c>
      <c r="L5" s="462">
        <f ca="1">tertiair!L16</f>
        <v>0</v>
      </c>
      <c r="M5" s="462">
        <f>tertiair!M16</f>
        <v>0</v>
      </c>
      <c r="N5" s="462">
        <f ca="1">tertiair!N16</f>
        <v>14535.03891882885</v>
      </c>
      <c r="O5" s="462">
        <f>tertiair!O16</f>
        <v>9.3800000000000008</v>
      </c>
      <c r="P5" s="463">
        <f>tertiair!P16</f>
        <v>247.86666666666667</v>
      </c>
      <c r="Q5" s="461">
        <f t="shared" ref="Q5:Q14" ca="1" si="0">SUM(B5:P5)</f>
        <v>1100571.9177040847</v>
      </c>
    </row>
    <row r="6" spans="1:17">
      <c r="A6" s="461" t="s">
        <v>194</v>
      </c>
      <c r="B6" s="462">
        <f>'openbare verlichting'!B8</f>
        <v>5540.8969999999999</v>
      </c>
      <c r="C6" s="462"/>
      <c r="D6" s="462"/>
      <c r="E6" s="462"/>
      <c r="F6" s="462"/>
      <c r="G6" s="462"/>
      <c r="H6" s="462"/>
      <c r="I6" s="462"/>
      <c r="J6" s="462"/>
      <c r="K6" s="462"/>
      <c r="L6" s="462"/>
      <c r="M6" s="462"/>
      <c r="N6" s="462"/>
      <c r="O6" s="462"/>
      <c r="P6" s="463"/>
      <c r="Q6" s="461">
        <f t="shared" si="0"/>
        <v>5540.8969999999999</v>
      </c>
    </row>
    <row r="7" spans="1:17">
      <c r="A7" s="461" t="s">
        <v>112</v>
      </c>
      <c r="B7" s="462">
        <f>landbouw!B8</f>
        <v>1421.1123904596373</v>
      </c>
      <c r="C7" s="462">
        <f>landbouw!C8</f>
        <v>0</v>
      </c>
      <c r="D7" s="462">
        <f>landbouw!D8</f>
        <v>1373.1657849217454</v>
      </c>
      <c r="E7" s="462">
        <f>landbouw!E8</f>
        <v>17.907846884782533</v>
      </c>
      <c r="F7" s="462">
        <f>landbouw!F8</f>
        <v>4903.1937570120244</v>
      </c>
      <c r="G7" s="462">
        <f>landbouw!G8</f>
        <v>0</v>
      </c>
      <c r="H7" s="462">
        <f>landbouw!H8</f>
        <v>0</v>
      </c>
      <c r="I7" s="462">
        <f>landbouw!I8</f>
        <v>0</v>
      </c>
      <c r="J7" s="462">
        <f>landbouw!J8</f>
        <v>213.71914888962485</v>
      </c>
      <c r="K7" s="462">
        <f>landbouw!K8</f>
        <v>0</v>
      </c>
      <c r="L7" s="462">
        <f>landbouw!L8</f>
        <v>0</v>
      </c>
      <c r="M7" s="462">
        <f>landbouw!M8</f>
        <v>0</v>
      </c>
      <c r="N7" s="462">
        <f>landbouw!N8</f>
        <v>0</v>
      </c>
      <c r="O7" s="462">
        <f>landbouw!O8</f>
        <v>0</v>
      </c>
      <c r="P7" s="463">
        <f>landbouw!P8</f>
        <v>0</v>
      </c>
      <c r="Q7" s="461">
        <f t="shared" si="0"/>
        <v>7929.0989281678148</v>
      </c>
    </row>
    <row r="8" spans="1:17">
      <c r="A8" s="461" t="s">
        <v>657</v>
      </c>
      <c r="B8" s="462">
        <f>industrie!B18</f>
        <v>116368.93809242515</v>
      </c>
      <c r="C8" s="462">
        <f>industrie!C18</f>
        <v>0</v>
      </c>
      <c r="D8" s="462">
        <f>industrie!D18</f>
        <v>118025.26193899187</v>
      </c>
      <c r="E8" s="462">
        <f>industrie!E18</f>
        <v>14990.235340553085</v>
      </c>
      <c r="F8" s="462">
        <f>industrie!F18</f>
        <v>79968.155293267424</v>
      </c>
      <c r="G8" s="462">
        <f>industrie!G18</f>
        <v>0</v>
      </c>
      <c r="H8" s="462">
        <f>industrie!H18</f>
        <v>0</v>
      </c>
      <c r="I8" s="462">
        <f>industrie!I18</f>
        <v>0</v>
      </c>
      <c r="J8" s="462">
        <f>industrie!J18</f>
        <v>118.7511540655404</v>
      </c>
      <c r="K8" s="462">
        <f>industrie!K18</f>
        <v>0</v>
      </c>
      <c r="L8" s="462">
        <f>industrie!L18</f>
        <v>0</v>
      </c>
      <c r="M8" s="462">
        <f>industrie!M18</f>
        <v>0</v>
      </c>
      <c r="N8" s="462">
        <f>industrie!N18</f>
        <v>31956.152977796228</v>
      </c>
      <c r="O8" s="462">
        <f>industrie!O18</f>
        <v>0</v>
      </c>
      <c r="P8" s="463">
        <f>industrie!P18</f>
        <v>0</v>
      </c>
      <c r="Q8" s="461">
        <f t="shared" si="0"/>
        <v>361427.49479709927</v>
      </c>
    </row>
    <row r="9" spans="1:17" s="467" customFormat="1">
      <c r="A9" s="465" t="s">
        <v>574</v>
      </c>
      <c r="B9" s="466">
        <f>transport!B14</f>
        <v>35.30647847015036</v>
      </c>
      <c r="C9" s="466">
        <f>transport!C14</f>
        <v>0</v>
      </c>
      <c r="D9" s="466">
        <f>transport!D14</f>
        <v>57.901926098429421</v>
      </c>
      <c r="E9" s="466">
        <f>transport!E14</f>
        <v>2009.6339937047326</v>
      </c>
      <c r="F9" s="466">
        <f>transport!F14</f>
        <v>0</v>
      </c>
      <c r="G9" s="466">
        <f>transport!G14</f>
        <v>436492.97682382067</v>
      </c>
      <c r="H9" s="466">
        <f>transport!H14</f>
        <v>88683.076276544132</v>
      </c>
      <c r="I9" s="466">
        <f>transport!I14</f>
        <v>0</v>
      </c>
      <c r="J9" s="466">
        <f>transport!J14</f>
        <v>0</v>
      </c>
      <c r="K9" s="466">
        <f>transport!K14</f>
        <v>0</v>
      </c>
      <c r="L9" s="466">
        <f>transport!L14</f>
        <v>0</v>
      </c>
      <c r="M9" s="466">
        <f>transport!M14</f>
        <v>23746.647803884629</v>
      </c>
      <c r="N9" s="466">
        <f>transport!N14</f>
        <v>0</v>
      </c>
      <c r="O9" s="466">
        <f>transport!O14</f>
        <v>0</v>
      </c>
      <c r="P9" s="466">
        <f>transport!P14</f>
        <v>0</v>
      </c>
      <c r="Q9" s="465">
        <f>SUM(B9:P9)</f>
        <v>551025.54330252262</v>
      </c>
    </row>
    <row r="10" spans="1:17">
      <c r="A10" s="461" t="s">
        <v>564</v>
      </c>
      <c r="B10" s="462">
        <f>transport!B54</f>
        <v>0</v>
      </c>
      <c r="C10" s="462">
        <f>transport!C54</f>
        <v>0</v>
      </c>
      <c r="D10" s="462">
        <f>transport!D54</f>
        <v>0</v>
      </c>
      <c r="E10" s="462">
        <f>transport!E54</f>
        <v>0</v>
      </c>
      <c r="F10" s="462">
        <f>transport!F54</f>
        <v>0</v>
      </c>
      <c r="G10" s="462">
        <f>transport!G54</f>
        <v>24386.156054201234</v>
      </c>
      <c r="H10" s="462">
        <f>transport!H54</f>
        <v>0</v>
      </c>
      <c r="I10" s="462">
        <f>transport!I54</f>
        <v>0</v>
      </c>
      <c r="J10" s="462">
        <f>transport!J54</f>
        <v>0</v>
      </c>
      <c r="K10" s="462">
        <f>transport!K54</f>
        <v>0</v>
      </c>
      <c r="L10" s="462">
        <f>transport!L54</f>
        <v>0</v>
      </c>
      <c r="M10" s="462">
        <f>transport!M54</f>
        <v>1084.5120062288274</v>
      </c>
      <c r="N10" s="462">
        <f>transport!N54</f>
        <v>0</v>
      </c>
      <c r="O10" s="462">
        <f>transport!O54</f>
        <v>0</v>
      </c>
      <c r="P10" s="463">
        <f>transport!P54</f>
        <v>0</v>
      </c>
      <c r="Q10" s="461">
        <f t="shared" si="0"/>
        <v>25470.66806043006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18173.8668168269</v>
      </c>
      <c r="C14" s="469"/>
      <c r="D14" s="469">
        <f>'SEAP template'!E25</f>
        <v>40541.611913348897</v>
      </c>
      <c r="E14" s="469"/>
      <c r="F14" s="469"/>
      <c r="G14" s="469"/>
      <c r="H14" s="469"/>
      <c r="I14" s="469"/>
      <c r="J14" s="469"/>
      <c r="K14" s="469"/>
      <c r="L14" s="469"/>
      <c r="M14" s="469"/>
      <c r="N14" s="469"/>
      <c r="O14" s="469"/>
      <c r="P14" s="470"/>
      <c r="Q14" s="461">
        <f t="shared" si="0"/>
        <v>58715.478730175797</v>
      </c>
    </row>
    <row r="15" spans="1:17" s="474" customFormat="1">
      <c r="A15" s="471" t="s">
        <v>568</v>
      </c>
      <c r="B15" s="472">
        <f ca="1">SUM(B4:B14)</f>
        <v>743337.38311659766</v>
      </c>
      <c r="C15" s="472">
        <f t="shared" ref="C15:Q15" ca="1" si="1">SUM(C4:C14)</f>
        <v>60.428571428571438</v>
      </c>
      <c r="D15" s="472">
        <f t="shared" ca="1" si="1"/>
        <v>1123166.3978371467</v>
      </c>
      <c r="E15" s="472">
        <f t="shared" si="1"/>
        <v>46581.684347811017</v>
      </c>
      <c r="F15" s="472">
        <f t="shared" ca="1" si="1"/>
        <v>332032.74736184586</v>
      </c>
      <c r="G15" s="472">
        <f t="shared" si="1"/>
        <v>460879.13287802192</v>
      </c>
      <c r="H15" s="472">
        <f t="shared" si="1"/>
        <v>88683.076276544132</v>
      </c>
      <c r="I15" s="472">
        <f t="shared" si="1"/>
        <v>0</v>
      </c>
      <c r="J15" s="472">
        <f t="shared" si="1"/>
        <v>332.47030295516527</v>
      </c>
      <c r="K15" s="472">
        <f t="shared" si="1"/>
        <v>0</v>
      </c>
      <c r="L15" s="472">
        <f t="shared" ca="1" si="1"/>
        <v>0</v>
      </c>
      <c r="M15" s="472">
        <f t="shared" si="1"/>
        <v>24831.159810113455</v>
      </c>
      <c r="N15" s="472">
        <f t="shared" ca="1" si="1"/>
        <v>70733.360631219446</v>
      </c>
      <c r="O15" s="472">
        <f t="shared" si="1"/>
        <v>597.19333333333338</v>
      </c>
      <c r="P15" s="472">
        <f t="shared" si="1"/>
        <v>972.4</v>
      </c>
      <c r="Q15" s="472">
        <f t="shared" ca="1" si="1"/>
        <v>2892207.4344670172</v>
      </c>
    </row>
    <row r="17" spans="1:17">
      <c r="A17" s="475" t="s">
        <v>569</v>
      </c>
      <c r="B17" s="781">
        <f ca="1">huishoudens!B10</f>
        <v>0.21751265048687085</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32809.875221741444</v>
      </c>
      <c r="C22" s="462">
        <f t="shared" ref="C22:C32" ca="1" si="3">C4*$C$17</f>
        <v>0</v>
      </c>
      <c r="D22" s="462">
        <f t="shared" ref="D22:D32" si="4">D4*$D$17</f>
        <v>91027.290446915373</v>
      </c>
      <c r="E22" s="462">
        <f t="shared" ref="E22:E32" si="5">E4*$E$17</f>
        <v>3464.1947794946136</v>
      </c>
      <c r="F22" s="462">
        <f t="shared" ref="F22:F32" si="6">F4*$F$17</f>
        <v>37176.992489390883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164478.35293754231</v>
      </c>
    </row>
    <row r="23" spans="1:17">
      <c r="A23" s="461" t="s">
        <v>156</v>
      </c>
      <c r="B23" s="462">
        <f t="shared" ca="1" si="2"/>
        <v>98088.64236523016</v>
      </c>
      <c r="C23" s="462">
        <f t="shared" ca="1" si="3"/>
        <v>14.360672268907567</v>
      </c>
      <c r="D23" s="462">
        <f t="shared" ca="1" si="4"/>
        <v>103532.73772038938</v>
      </c>
      <c r="E23" s="462">
        <f t="shared" si="5"/>
        <v>3246.812147339117</v>
      </c>
      <c r="F23" s="462">
        <f t="shared" ca="1" si="6"/>
        <v>28815.100859797356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233697.65376502494</v>
      </c>
    </row>
    <row r="24" spans="1:17">
      <c r="A24" s="461" t="s">
        <v>194</v>
      </c>
      <c r="B24" s="462">
        <f t="shared" ca="1" si="2"/>
        <v>1205.2151925447513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1205.2151925447513</v>
      </c>
    </row>
    <row r="25" spans="1:17">
      <c r="A25" s="461" t="s">
        <v>112</v>
      </c>
      <c r="B25" s="462">
        <f t="shared" ca="1" si="2"/>
        <v>309.10992268860861</v>
      </c>
      <c r="C25" s="462">
        <f t="shared" ca="1" si="3"/>
        <v>0</v>
      </c>
      <c r="D25" s="462">
        <f t="shared" si="4"/>
        <v>277.37948855419256</v>
      </c>
      <c r="E25" s="462">
        <f t="shared" si="5"/>
        <v>4.0650812428456353</v>
      </c>
      <c r="F25" s="462">
        <f t="shared" si="6"/>
        <v>1309.1527331222105</v>
      </c>
      <c r="G25" s="462">
        <f t="shared" si="7"/>
        <v>0</v>
      </c>
      <c r="H25" s="462">
        <f t="shared" si="8"/>
        <v>0</v>
      </c>
      <c r="I25" s="462">
        <f t="shared" si="9"/>
        <v>0</v>
      </c>
      <c r="J25" s="462">
        <f t="shared" si="10"/>
        <v>75.656578706927192</v>
      </c>
      <c r="K25" s="462">
        <f t="shared" si="11"/>
        <v>0</v>
      </c>
      <c r="L25" s="462">
        <f t="shared" si="12"/>
        <v>0</v>
      </c>
      <c r="M25" s="462">
        <f t="shared" si="13"/>
        <v>0</v>
      </c>
      <c r="N25" s="462">
        <f t="shared" si="14"/>
        <v>0</v>
      </c>
      <c r="O25" s="462">
        <f t="shared" si="15"/>
        <v>0</v>
      </c>
      <c r="P25" s="463">
        <f t="shared" si="16"/>
        <v>0</v>
      </c>
      <c r="Q25" s="461">
        <f t="shared" ca="1" si="17"/>
        <v>1975.3638043147844</v>
      </c>
    </row>
    <row r="26" spans="1:17">
      <c r="A26" s="461" t="s">
        <v>657</v>
      </c>
      <c r="B26" s="462">
        <f t="shared" ca="1" si="2"/>
        <v>25311.716158825981</v>
      </c>
      <c r="C26" s="462">
        <f t="shared" ca="1" si="3"/>
        <v>0</v>
      </c>
      <c r="D26" s="462">
        <f t="shared" si="4"/>
        <v>23841.10291167636</v>
      </c>
      <c r="E26" s="462">
        <f t="shared" si="5"/>
        <v>3402.7834223055502</v>
      </c>
      <c r="F26" s="462">
        <f t="shared" si="6"/>
        <v>21351.497463302403</v>
      </c>
      <c r="G26" s="462">
        <f t="shared" si="7"/>
        <v>0</v>
      </c>
      <c r="H26" s="462">
        <f t="shared" si="8"/>
        <v>0</v>
      </c>
      <c r="I26" s="462">
        <f t="shared" si="9"/>
        <v>0</v>
      </c>
      <c r="J26" s="462">
        <f t="shared" si="10"/>
        <v>42.037908539201304</v>
      </c>
      <c r="K26" s="462">
        <f t="shared" si="11"/>
        <v>0</v>
      </c>
      <c r="L26" s="462">
        <f t="shared" si="12"/>
        <v>0</v>
      </c>
      <c r="M26" s="462">
        <f t="shared" si="13"/>
        <v>0</v>
      </c>
      <c r="N26" s="462">
        <f t="shared" si="14"/>
        <v>0</v>
      </c>
      <c r="O26" s="462">
        <f t="shared" si="15"/>
        <v>0</v>
      </c>
      <c r="P26" s="463">
        <f t="shared" si="16"/>
        <v>0</v>
      </c>
      <c r="Q26" s="461">
        <f t="shared" ca="1" si="17"/>
        <v>73949.1378646495</v>
      </c>
    </row>
    <row r="27" spans="1:17" s="467" customFormat="1">
      <c r="A27" s="465" t="s">
        <v>574</v>
      </c>
      <c r="B27" s="775">
        <f t="shared" ca="1" si="2"/>
        <v>7.679605711400046</v>
      </c>
      <c r="C27" s="466">
        <f t="shared" ca="1" si="3"/>
        <v>0</v>
      </c>
      <c r="D27" s="466">
        <f t="shared" si="4"/>
        <v>11.696189071882744</v>
      </c>
      <c r="E27" s="466">
        <f t="shared" si="5"/>
        <v>456.18691657097429</v>
      </c>
      <c r="F27" s="466">
        <f t="shared" si="6"/>
        <v>0</v>
      </c>
      <c r="G27" s="466">
        <f t="shared" si="7"/>
        <v>116543.62481196012</v>
      </c>
      <c r="H27" s="466">
        <f t="shared" si="8"/>
        <v>22082.085992859487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139101.27351617388</v>
      </c>
    </row>
    <row r="28" spans="1:17">
      <c r="A28" s="461" t="s">
        <v>564</v>
      </c>
      <c r="B28" s="462">
        <f t="shared" ca="1" si="2"/>
        <v>0</v>
      </c>
      <c r="C28" s="462">
        <f t="shared" ca="1" si="3"/>
        <v>0</v>
      </c>
      <c r="D28" s="462">
        <f t="shared" si="4"/>
        <v>0</v>
      </c>
      <c r="E28" s="462">
        <f t="shared" si="5"/>
        <v>0</v>
      </c>
      <c r="F28" s="462">
        <f t="shared" si="6"/>
        <v>0</v>
      </c>
      <c r="G28" s="462">
        <f t="shared" si="7"/>
        <v>6511.1036664717294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6511.1036664717294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3953.0459409234095</v>
      </c>
      <c r="C32" s="462">
        <f t="shared" ca="1" si="3"/>
        <v>0</v>
      </c>
      <c r="D32" s="462">
        <f t="shared" si="4"/>
        <v>8189.405606496478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12142.451547419887</v>
      </c>
    </row>
    <row r="33" spans="1:17" s="474" customFormat="1">
      <c r="A33" s="471" t="s">
        <v>568</v>
      </c>
      <c r="B33" s="472">
        <f ca="1">SUM(B22:B32)</f>
        <v>161685.28440766575</v>
      </c>
      <c r="C33" s="472">
        <f t="shared" ref="C33:Q33" ca="1" si="18">SUM(C22:C32)</f>
        <v>14.360672268907567</v>
      </c>
      <c r="D33" s="472">
        <f t="shared" ca="1" si="18"/>
        <v>226879.61236310369</v>
      </c>
      <c r="E33" s="472">
        <f t="shared" si="18"/>
        <v>10574.0423469531</v>
      </c>
      <c r="F33" s="472">
        <f t="shared" ca="1" si="18"/>
        <v>88652.743545612873</v>
      </c>
      <c r="G33" s="472">
        <f t="shared" si="18"/>
        <v>123054.72847843185</v>
      </c>
      <c r="H33" s="472">
        <f t="shared" si="18"/>
        <v>22082.085992859487</v>
      </c>
      <c r="I33" s="472">
        <f t="shared" si="18"/>
        <v>0</v>
      </c>
      <c r="J33" s="472">
        <f t="shared" si="18"/>
        <v>117.69448724612849</v>
      </c>
      <c r="K33" s="472">
        <f t="shared" si="18"/>
        <v>0</v>
      </c>
      <c r="L33" s="472">
        <f t="shared" ca="1" si="18"/>
        <v>0</v>
      </c>
      <c r="M33" s="472">
        <f t="shared" si="18"/>
        <v>0</v>
      </c>
      <c r="N33" s="472">
        <f t="shared" ca="1" si="18"/>
        <v>0</v>
      </c>
      <c r="O33" s="472">
        <f t="shared" si="18"/>
        <v>0</v>
      </c>
      <c r="P33" s="472">
        <f t="shared" si="18"/>
        <v>0</v>
      </c>
      <c r="Q33" s="472">
        <f t="shared" ca="1" si="18"/>
        <v>633060.55229414185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63.898654708520183</v>
      </c>
      <c r="C5" s="1047"/>
      <c r="D5" s="1047"/>
      <c r="E5" s="1047"/>
      <c r="F5" s="1047"/>
      <c r="G5" s="1047"/>
      <c r="H5" s="1047"/>
      <c r="I5" s="1047"/>
      <c r="J5" s="1047"/>
      <c r="K5" s="1047"/>
      <c r="L5" s="1047"/>
      <c r="M5" s="1047"/>
      <c r="N5" s="1047"/>
      <c r="O5" s="1047"/>
      <c r="P5" s="1048">
        <f>'SEAP template'!Q73</f>
        <v>0</v>
      </c>
    </row>
    <row r="6" spans="1:16">
      <c r="A6" s="1049" t="s">
        <v>251</v>
      </c>
      <c r="B6" s="1047">
        <f>'SEAP template'!B74</f>
        <v>10265.048999999999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42.300000000000004</v>
      </c>
      <c r="D8" s="1047">
        <f>'SEAP template'!D76</f>
        <v>49.764705882352949</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10.052470588235296</v>
      </c>
    </row>
    <row r="9" spans="1:16">
      <c r="A9" s="1050" t="s">
        <v>887</v>
      </c>
      <c r="B9" s="1047">
        <f>'SEAP template'!B77</f>
        <v>1404</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4011.4285714285716</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11732.94765470852</v>
      </c>
      <c r="C10" s="1051">
        <f>SUM(C4:C9)</f>
        <v>42.300000000000004</v>
      </c>
      <c r="D10" s="1051">
        <f t="shared" ref="D10:H10" si="0">SUM(D8:D9)</f>
        <v>49.764705882352949</v>
      </c>
      <c r="E10" s="1051">
        <f t="shared" si="0"/>
        <v>0</v>
      </c>
      <c r="F10" s="1051">
        <f t="shared" si="0"/>
        <v>0</v>
      </c>
      <c r="G10" s="1051">
        <f t="shared" si="0"/>
        <v>0</v>
      </c>
      <c r="H10" s="1051">
        <f t="shared" si="0"/>
        <v>0</v>
      </c>
      <c r="I10" s="1051">
        <f>SUM(I8:I9)</f>
        <v>0</v>
      </c>
      <c r="J10" s="1051">
        <f>SUM(J8:J9)</f>
        <v>4011.4285714285716</v>
      </c>
      <c r="K10" s="1051">
        <f t="shared" ref="K10:L10" si="1">SUM(K8:K9)</f>
        <v>0</v>
      </c>
      <c r="L10" s="1051">
        <f t="shared" si="1"/>
        <v>0</v>
      </c>
      <c r="M10" s="1051">
        <f>SUM(M8:M9)</f>
        <v>0</v>
      </c>
      <c r="N10" s="1051">
        <f>SUM(N8:N9)</f>
        <v>0</v>
      </c>
      <c r="O10" s="1051">
        <f>SUM(O8:O9)</f>
        <v>0</v>
      </c>
      <c r="P10" s="1051">
        <f>SUM(P8:P9)</f>
        <v>10.052470588235296</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0.21751265048687085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60.428571428571438</v>
      </c>
      <c r="D17" s="1048">
        <f>'SEAP template'!D87</f>
        <v>71.092436974789933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14.360672268907567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60.428571428571438</v>
      </c>
      <c r="D20" s="1051">
        <f t="shared" ref="D20:H20" si="2">SUM(D17:D19)</f>
        <v>71.092436974789933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14.360672268907567</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0.21751265048687085</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2019-08-12T08:02:21Z</dcterms:modified>
</cp:coreProperties>
</file>