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O18" s="1"/>
  <c r="D22"/>
  <c r="C22"/>
  <c r="D20"/>
  <c r="B17"/>
  <c r="G12"/>
  <c r="F12"/>
  <c r="E12"/>
  <c r="D12"/>
  <c r="C12"/>
  <c r="B8"/>
  <c r="B6"/>
  <c r="B5"/>
  <c r="B10" s="1"/>
  <c r="B4"/>
  <c r="I102" l="1"/>
  <c r="H17" s="1"/>
  <c r="H20" s="1"/>
  <c r="B102"/>
  <c r="C17" s="1"/>
  <c r="C102"/>
  <c r="F102"/>
  <c r="G102"/>
  <c r="C98"/>
  <c r="B20"/>
  <c r="O19"/>
  <c r="C20"/>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E90" l="1"/>
  <c r="E18" i="59"/>
  <c r="E20" s="1"/>
  <c r="O8" i="18"/>
  <c r="O10" s="1"/>
  <c r="P28" i="48"/>
  <c r="D22" i="14"/>
  <c r="K20" i="59"/>
  <c r="K78" i="14"/>
  <c r="K8" i="59"/>
  <c r="K10" s="1"/>
  <c r="L78" i="14"/>
  <c r="L9" i="59"/>
  <c r="Q11" i="48"/>
  <c r="O28"/>
  <c r="K22" i="14"/>
  <c r="L22"/>
  <c r="O10" i="59"/>
  <c r="L20"/>
  <c r="N10"/>
  <c r="D14" i="48"/>
  <c r="L10" i="59"/>
  <c r="E10"/>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24"/>
  <c r="E31"/>
  <c r="E30"/>
  <c r="M29"/>
  <c r="M26"/>
  <c r="M25"/>
  <c r="M32"/>
  <c r="M24"/>
  <c r="M22"/>
  <c r="M30"/>
  <c r="M23"/>
  <c r="L10" i="14"/>
  <c r="L16" s="1"/>
  <c r="L27" s="1"/>
  <c r="K5" i="48"/>
  <c r="D30"/>
  <c r="D28"/>
  <c r="D29"/>
  <c r="D31"/>
  <c r="D24"/>
  <c r="D32"/>
  <c r="L28"/>
  <c r="L27"/>
  <c r="L29"/>
  <c r="L32"/>
  <c r="L22"/>
  <c r="L30"/>
  <c r="L24"/>
  <c r="L31"/>
  <c r="P5"/>
  <c r="P23" s="1"/>
  <c r="Q10" i="14"/>
  <c r="K32" i="48"/>
  <c r="K28"/>
  <c r="K26"/>
  <c r="K29"/>
  <c r="K24"/>
  <c r="K25"/>
  <c r="K27"/>
  <c r="K22"/>
  <c r="K31"/>
  <c r="K30"/>
  <c r="C24" i="14"/>
  <c r="C26" s="1"/>
  <c r="B7" i="48"/>
  <c r="J29"/>
  <c r="J31"/>
  <c r="J27"/>
  <c r="J32"/>
  <c r="J30"/>
  <c r="J28"/>
  <c r="J24"/>
  <c r="P4"/>
  <c r="Q11" i="14"/>
  <c r="O4" i="48"/>
  <c r="P11" i="14"/>
  <c r="I32" i="48"/>
  <c r="I29"/>
  <c r="I31"/>
  <c r="I26"/>
  <c r="I25"/>
  <c r="I24"/>
  <c r="I27"/>
  <c r="I22"/>
  <c r="I30"/>
  <c r="I28"/>
  <c r="D4"/>
  <c r="D22" s="1"/>
  <c r="E11" i="14"/>
  <c r="H29" i="48"/>
  <c r="H32"/>
  <c r="H25"/>
  <c r="H26"/>
  <c r="H28"/>
  <c r="H24"/>
  <c r="H22"/>
  <c r="H30"/>
  <c r="H23"/>
  <c r="D11" i="14"/>
  <c r="C4" i="48"/>
  <c r="G32"/>
  <c r="G26"/>
  <c r="G30"/>
  <c r="G29"/>
  <c r="G24"/>
  <c r="G25"/>
  <c r="G22"/>
  <c r="G23"/>
  <c r="B4"/>
  <c r="C11" i="14"/>
  <c r="F32" i="48"/>
  <c r="F27"/>
  <c r="F30"/>
  <c r="F29"/>
  <c r="F24"/>
  <c r="F31"/>
  <c r="F28"/>
  <c r="N32"/>
  <c r="N31"/>
  <c r="N29"/>
  <c r="N30"/>
  <c r="N24"/>
  <c r="N27"/>
  <c r="N28"/>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P22" i="48"/>
  <c r="B9"/>
  <c r="C20" i="14"/>
  <c r="O5" i="48"/>
  <c r="O23" s="1"/>
  <c r="P10" i="14"/>
  <c r="F4" i="48"/>
  <c r="F22" s="1"/>
  <c r="G11" i="14"/>
  <c r="K24"/>
  <c r="K26" s="1"/>
  <c r="J7" i="48"/>
  <c r="J25" s="1"/>
  <c r="O22"/>
  <c r="J10" i="14"/>
  <c r="J16" s="1"/>
  <c r="J27" s="1"/>
  <c r="I5" i="48"/>
  <c r="M12" i="22"/>
  <c r="N18" i="14"/>
  <c r="M13" i="48"/>
  <c r="M31" s="1"/>
  <c r="K15"/>
  <c r="K23"/>
  <c r="K33" s="1"/>
  <c r="H18" i="14"/>
  <c r="R18" s="1"/>
  <c r="G13" i="48"/>
  <c r="I18" i="14"/>
  <c r="H13" i="48"/>
  <c r="H31" s="1"/>
  <c r="L46" i="14"/>
  <c r="L61" s="1"/>
  <c r="L63"/>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E4" i="48"/>
  <c r="F11" i="14"/>
  <c r="R11" s="1"/>
  <c r="M9" i="48"/>
  <c r="N20" i="14"/>
  <c r="H20"/>
  <c r="G9" i="48"/>
  <c r="P13" i="14"/>
  <c r="P16" s="1"/>
  <c r="P27" s="1"/>
  <c r="O8" i="48"/>
  <c r="M10"/>
  <c r="M28" s="1"/>
  <c r="N19" i="14"/>
  <c r="N22" s="1"/>
  <c r="N27" s="1"/>
  <c r="F24"/>
  <c r="F26" s="1"/>
  <c r="E7" i="48"/>
  <c r="E25" s="1"/>
  <c r="I23"/>
  <c r="I33" s="1"/>
  <c r="I15"/>
  <c r="H19" i="14"/>
  <c r="R19" s="1"/>
  <c r="G10" i="48"/>
  <c r="G31"/>
  <c r="Q13"/>
  <c r="J4"/>
  <c r="K11" i="14"/>
  <c r="E27" i="48"/>
  <c r="Q63" i="14"/>
  <c r="C22"/>
  <c r="Q46"/>
  <c r="Q61"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N63"/>
  <c r="G28" i="48"/>
  <c r="Q10"/>
  <c r="O26"/>
  <c r="O33" s="1"/>
  <c r="O15"/>
  <c r="E22"/>
  <c r="Q4"/>
  <c r="I20" i="14"/>
  <c r="H9" i="48"/>
  <c r="E20" i="15"/>
  <c r="F40" i="14" s="1"/>
  <c r="E5" i="48"/>
  <c r="E23" s="1"/>
  <c r="F10" i="14"/>
  <c r="J22" i="48"/>
  <c r="M27"/>
  <c r="M33" s="1"/>
  <c r="M15"/>
  <c r="K10" i="14"/>
  <c r="J5" i="48"/>
  <c r="J23" s="1"/>
  <c r="G27"/>
  <c r="G15"/>
  <c r="E61" i="14"/>
  <c r="H22"/>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H27" i="48"/>
  <c r="H33" s="1"/>
  <c r="H15"/>
  <c r="Q9"/>
  <c r="J22" i="16"/>
  <c r="K43" i="14" s="1"/>
  <c r="K46" s="1"/>
  <c r="K61" s="1"/>
  <c r="K13"/>
  <c r="J8" i="48"/>
  <c r="J26" s="1"/>
  <c r="J33" s="1"/>
  <c r="H63" i="14"/>
  <c r="K16"/>
  <c r="K27" s="1"/>
  <c r="F46"/>
  <c r="F61" s="1"/>
  <c r="G33" i="48"/>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<sst xmlns="http://schemas.openxmlformats.org/spreadsheetml/2006/main" count="2450" uniqueCount="926">
  <si>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</si>
  <si>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</si>
  <si>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</si>
  <si>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</si>
  <si>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</si>
  <si>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</si>
  <si>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</si>
  <si>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</si>
  <si>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</si>
  <si>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</si>
  <si>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</si>
  <si>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</si>
  <si>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</si>
  <si>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</si>
  <si>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</si>
  <si>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</si>
  <si>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</si>
  <si>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</si>
  <si>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</si>
  <si>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</si>
  <si>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</si>
  <si>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</si>
  <si>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</si>
  <si>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</si>
  <si>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</si>
  <si>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</si>
  <si>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</si>
  <si>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</si>
  <si>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</si>
  <si>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</si>
  <si>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</si>
  <si>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</si>
  <si>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</si>
  <si>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</si>
  <si>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</si>
  <si>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</si>
  <si>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</si>
  <si>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</si>
  <si>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</si>
  <si>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</si>
  <si>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</si>
  <si>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</si>
  <si>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</si>
  <si>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</si>
  <si>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</si>
  <si>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</si>
  <si>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</si>
  <si>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</si>
  <si>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</si>
  <si>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</si>
  <si>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</si>
  <si>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</si>
  <si>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</si>
  <si>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</si>
  <si>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</si>
  <si>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</si>
  <si>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</si>
  <si>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</si>
  <si>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</si>
  <si>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</si>
  <si>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</si>
  <si>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</si>
  <si>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</si>
  <si>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</si>
  <si>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</si>
  <si>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</si>
  <si>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</si>
  <si>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</si>
  <si>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</si>
  <si>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</si>
  <si>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</si>
  <si>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</si>
  <si>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</si>
  <si>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</si>
  <si>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</si>
  <si>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</si>
  <si>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</si>
  <si>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</si>
  <si>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</si>
  <si>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</si>
  <si>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</si>
  <si>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</si>
  <si>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</si>
  <si>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</si>
  <si>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</si>
  <si>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</si>
  <si>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</si>
  <si>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</si>
  <si>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</si>
  <si>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</si>
  <si>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</si>
  <si>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</si>
  <si>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</si>
  <si>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</si>
  <si>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</si>
  <si>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</si>
  <si>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</si>
  <si>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</si>
  <si>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</si>
  <si>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</si>
  <si>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</si>
  <si>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</si>
  <si>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</si>
  <si>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</si>
  <si>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</si>
  <si>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</si>
  <si>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</si>
  <si>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</si>
  <si>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</si>
  <si>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</si>
  <si>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</si>
  <si>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</si>
  <si>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</si>
  <si>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</si>
  <si>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</si>
  <si>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</si>
  <si>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</si>
  <si>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</si>
  <si>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</si>
  <si>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</si>
  <si>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</si>
  <si>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</si>
  <si>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</si>
  <si>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</si>
  <si>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</si>
  <si>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</si>
  <si>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</si>
  <si>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</si>
  <si>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</si>
  <si>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</si>
  <si>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</si>
  <si>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</si>
  <si>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</si>
  <si>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</si>
  <si>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</si>
  <si>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</si>
  <si>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</si>
  <si>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</si>
  <si>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</si>
  <si>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</si>
  <si>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</si>
  <si>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</si>
  <si>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</si>
  <si>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</si>
  <si>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</si>
  <si>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</si>
  <si>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</si>
  <si>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</si>
  <si>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</si>
  <si>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</si>
  <si>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</si>
  <si>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</si>
  <si>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</si>
  <si>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</si>
  <si>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</si>
  <si>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</si>
  <si>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</si>
  <si>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</si>
  <si>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</si>
  <si>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</si>
  <si>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</si>
  <si>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</si>
  <si>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</si>
  <si>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</si>
  <si>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</si>
  <si>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</si>
  <si>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</si>
  <si>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</si>
  <si>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</si>
  <si>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</si>
  <si>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</si>
  <si>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</si>
  <si>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</si>
  <si>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</si>
  <si>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</si>
  <si>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</si>
  <si>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</si>
  <si>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</si>
  <si>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</si>
  <si>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</si>
  <si>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</si>
  <si>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</si>
  <si>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</si>
  <si>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</si>
  <si>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</si>
  <si>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</si>
  <si>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</si>
  <si>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</si>
  <si>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</si>
  <si>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</si>
  <si>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</si>
  <si>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</si>
  <si>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</si>
  <si>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</si>
  <si>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</si>
  <si>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</si>
  <si>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</si>
  <si>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</si>
  <si>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</si>
  <si>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</si>
  <si>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</si>
  <si>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</si>
  <si>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</si>
  <si>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</si>
  <si>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</si>
  <si>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</si>
  <si>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</si>
  <si>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</si>
  <si>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</si>
  <si>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</si>
  <si>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</si>
  <si>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</si>
  <si>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</si>
  <si>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</si>
  <si>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</si>
  <si>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</si>
  <si>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</si>
  <si>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</si>
  <si>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</si>
  <si>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</si>
  <si>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</si>
  <si>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</si>
  <si>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</si>
  <si>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</si>
  <si>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</si>
  <si>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</si>
  <si>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</si>
  <si>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</si>
  <si>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</si>
  <si>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</si>
  <si>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</si>
  <si>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</si>
  <si>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</si>
  <si>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</si>
  <si>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</si>
  <si>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</si>
  <si>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</si>
  <si>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</si>
  <si>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</si>
  <si>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</si>
  <si>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</si>
  <si>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</si>
  <si>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</si>
  <si>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</si>
  <si>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</si>
  <si>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</si>
  <si>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</si>
  <si>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</si>
  <si>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</si>
  <si>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</si>
  <si>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</si>
  <si>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</si>
  <si>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</si>
  <si>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</si>
  <si>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</si>
  <si>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</si>
  <si>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</si>
  <si>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</si>
  <si>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</si>
  <si>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</si>
  <si>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</si>
  <si>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</si>
  <si>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</si>
  <si>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</si>
  <si>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</si>
  <si>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</si>
  <si>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</si>
  <si>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</si>
  <si>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</si>
  <si>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</si>
  <si>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</si>
  <si>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</si>
  <si>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</si>
  <si>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</si>
  <si>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</si>
  <si>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</si>
  <si>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</si>
  <si>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</si>
  <si>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</si>
  <si>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</si>
  <si>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</si>
  <si>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</si>
  <si>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</si>
  <si>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</si>
  <si>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</si>
  <si>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</si>
  <si>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</si>
  <si>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</si>
  <si>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</si>
  <si>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</si>
  <si>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</si>
  <si>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</si>
  <si>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</si>
  <si>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</si>
  <si>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</si>
  <si>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</si>
  <si>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</si>
  <si>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</si>
  <si>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</si>
  <si>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</si>
  <si>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</si>
  <si>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</si>
  <si>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</si>
  <si>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</si>
  <si>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</si>
  <si>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</si>
  <si>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</si>
  <si>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</si>
  <si>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</si>
  <si>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</si>
  <si>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</si>
  <si>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</si>
  <si>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</si>
  <si>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</si>
  <si>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</si>
  <si>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</si>
  <si>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</si>
  <si>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</si>
  <si>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</si>
  <si>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</si>
  <si>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</si>
  <si>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</si>
  <si>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</si>
  <si>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</si>
  <si>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</si>
  <si>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</si>
  <si>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</si>
  <si>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</si>
  <si>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</si>
  <si>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</si>
  <si>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</si>
  <si>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</si>
  <si>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</si>
  <si>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</si>
  <si>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</si>
  <si>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</si>
  <si>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</si>
  <si>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</si>
  <si>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</si>
  <si>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</si>
  <si>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</si>
  <si>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</si>
  <si>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</si>
  <si>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</si>
  <si>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</si>
  <si>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</si>
  <si>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</si>
  <si>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</si>
  <si>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</si>
  <si>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</si>
  <si>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</si>
  <si>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</si>
  <si>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</si>
  <si>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</si>
  <si>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</si>
  <si>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</si>
  <si>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</si>
  <si>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</si>
  <si>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</si>
  <si>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</si>
  <si>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</si>
  <si>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</si>
  <si>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</si>
  <si>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</si>
  <si>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</si>
  <si>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</si>
  <si>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</si>
  <si>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</si>
  <si>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</si>
  <si>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</si>
  <si>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</si>
  <si>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</si>
  <si>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</si>
  <si>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</si>
  <si>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</si>
  <si>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</si>
  <si>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</si>
  <si>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</si>
  <si>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</si>
  <si>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</si>
  <si>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</si>
  <si>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</si>
  <si>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</si>
  <si>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</si>
  <si>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</si>
  <si>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</si>
  <si>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</si>
  <si>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</si>
  <si>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</si>
  <si>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</si>
  <si>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</si>
  <si>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</si>
  <si>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</si>
  <si>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</si>
  <si>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</si>
  <si>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</si>
  <si>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</si>
  <si>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</si>
  <si>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</si>
  <si>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</si>
  <si>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</si>
  <si>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</si>
  <si>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</si>
  <si>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</si>
  <si>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</si>
  <si>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</si>
  <si>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</si>
  <si>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</si>
  <si>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</si>
  <si>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</si>
  <si>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</si>
  <si>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</si>
  <si>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</si>
  <si>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</si>
  <si>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</si>
  <si>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</si>
  <si>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</si>
  <si>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</si>
  <si>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</si>
  <si>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</si>
  <si>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</si>
  <si>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</si>
  <si>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</si>
  <si>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</si>
  <si>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</si>
  <si>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</si>
  <si>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</si>
  <si>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</si>
  <si>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</si>
  <si>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</si>
  <si>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</si>
  <si>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</si>
  <si>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</si>
  <si>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</si>
  <si>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</si>
  <si>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</si>
  <si>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</si>
  <si>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</si>
  <si>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</si>
  <si>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</si>
  <si>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</si>
  <si>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</si>
  <si>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</si>
  <si>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</si>
  <si>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</si>
  <si>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</si>
  <si>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</si>
  <si>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</si>
  <si>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</si>
  <si>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</si>
  <si>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</si>
  <si>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</si>
  <si>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</si>
  <si>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</si>
  <si>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</si>
  <si>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</si>
  <si>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</si>
  <si>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</si>
  <si>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</si>
  <si>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</si>
  <si>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</si>
  <si>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</si>
  <si>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</si>
  <si>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</si>
  <si>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</si>
  <si>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</si>
  <si>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</si>
  <si>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</si>
  <si>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</si>
  <si>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</si>
  <si>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</si>
  <si>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</si>
  <si>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</si>
  <si>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</si>
  <si>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</si>
  <si>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</si>
  <si>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</si>
  <si>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</si>
  <si>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</si>
  <si>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</si>
  <si>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</si>
  <si>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</si>
  <si>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</si>
  <si>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</si>
  <si>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</si>
  <si>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</si>
  <si>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</si>
  <si>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</si>
  <si>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</si>
  <si>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</si>
  <si>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</si>
  <si>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</si>
  <si>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</si>
  <si>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</si>
  <si>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</si>
  <si>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</si>
  <si>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</si>
  <si>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</si>
  <si>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</si>
  <si>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</si>
  <si>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</si>
  <si>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</si>
  <si>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</si>
  <si>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</si>
  <si>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</si>
  <si>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</si>
  <si>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</si>
  <si>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</si>
  <si>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</si>
  <si>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</si>
  <si>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</si>
  <si>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</si>
  <si>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</si>
  <si>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</si>
  <si>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</si>
  <si>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</si>
  <si>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</si>
  <si>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</si>
  <si>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</si>
  <si>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</si>
  <si>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</si>
  <si>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</si>
  <si>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</si>
  <si>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</si>
  <si>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</si>
  <si>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</si>
  <si>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</si>
  <si>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</si>
  <si>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</si>
  <si>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</si>
  <si>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</si>
  <si>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</si>
  <si>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</si>
  <si>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</si>
  <si>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</si>
  <si>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</si>
  <si>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</si>
  <si>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</si>
  <si>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</si>
  <si>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</si>
  <si>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</si>
  <si>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</si>
  <si>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</si>
  <si>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</si>
  <si>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</si>
  <si>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</si>
  <si>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</si>
  <si>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</si>
  <si>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</si>
  <si>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</si>
  <si>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</si>
  <si>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</si>
  <si>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</si>
  <si>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</si>
  <si>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</si>
  <si>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</si>
  <si>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</si>
  <si>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</si>
  <si>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</si>
  <si>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</si>
  <si>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</si>
  <si>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</si>
  <si>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</si>
  <si>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</si>
  <si>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</si>
  <si>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</si>
  <si>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</si>
  <si>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</si>
  <si>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</si>
  <si>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</si>
  <si>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</si>
  <si>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</si>
  <si>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</si>
  <si>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</si>
  <si>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</si>
  <si>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</si>
  <si>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</si>
  <si>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</si>
  <si>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</si>
  <si>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</si>
  <si>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</si>
  <si>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</si>
  <si>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</si>
  <si>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</si>
  <si>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</si>
  <si>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</si>
  <si>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</si>
  <si>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</si>
  <si>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</si>
  <si>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</si>
  <si>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</si>
  <si>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</si>
  <si>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</si>
  <si>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</si>
  <si>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</si>
  <si>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</si>
  <si>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</si>
  <si>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</si>
  <si>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</si>
  <si>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</si>
  <si>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</si>
  <si>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</si>
  <si>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</si>
  <si>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</si>
  <si>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</si>
  <si>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</si>
  <si>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</si>
  <si>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</si>
  <si>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</si>
  <si>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</si>
  <si>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</si>
  <si>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</si>
  <si>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</si>
  <si>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</si>
  <si>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</si>
  <si>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</si>
  <si>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</si>
  <si>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</si>
  <si>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</si>
  <si>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</si>
  <si>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</si>
  <si>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</si>
  <si>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</si>
  <si>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</si>
  <si>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</si>
  <si>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</si>
  <si>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</si>
  <si>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</si>
  <si>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</si>
  <si>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</si>
  <si>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</si>
  <si>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</si>
  <si>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</si>
  <si>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</si>
  <si>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</si>
  <si>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</si>
  <si>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</si>
  <si>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</si>
  <si>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</si>
  <si>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</si>
  <si>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</si>
  <si>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</si>
  <si>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</si>
  <si>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</si>
  <si>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</si>
  <si>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</si>
  <si>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</si>
  <si>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</si>
  <si>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</si>
  <si>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</si>
  <si>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</si>
  <si>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</si>
  <si>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</si>
  <si>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</si>
  <si>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</si>
  <si>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</si>
  <si>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</si>
  <si>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</si>
  <si>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</si>
  <si>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</si>
  <si>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</si>
  <si>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</si>
  <si>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</si>
  <si>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</si>
  <si>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</si>
  <si>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</si>
  <si>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</si>
  <si>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</si>
  <si>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</si>
  <si>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</si>
  <si>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</si>
  <si>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</si>
  <si>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</si>
  <si>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</si>
  <si>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</si>
  <si>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</si>
  <si>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</si>
  <si>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</si>
  <si>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</si>
  <si>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</si>
  <si>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</si>
  <si>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</si>
  <si>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</si>
  <si>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</si>
  <si>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</si>
  <si>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</si>
  <si>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</si>
  <si>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</si>
  <si>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</si>
  <si>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</si>
  <si>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</si>
  <si>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</si>
  <si>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</si>
  <si>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</si>
  <si>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</si>
  <si>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</si>
  <si>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</si>
  <si>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</si>
  <si>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</si>
  <si>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</si>
  <si>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</si>
  <si>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</si>
  <si>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</si>
  <si>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</si>
  <si>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</si>
  <si>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</si>
  <si>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</si>
  <si>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</si>
  <si>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</si>
  <si>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</si>
  <si>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</si>
  <si>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</si>
  <si>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</si>
  <si>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</si>
  <si>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</si>
  <si>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</si>
  <si>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</si>
  <si>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</si>
  <si>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</si>
  <si>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</si>
  <si>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</si>
  <si>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</si>
  <si>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</si>
  <si>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</si>
  <si>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</si>
  <si>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</si>
  <si>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</si>
  <si>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</si>
  <si>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</si>
  <si>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</si>
  <si>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</si>
  <si>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</si>
  <si>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</si>
  <si>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</si>
  <si>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</si>
  <si>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</si>
  <si>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</si>
  <si>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</si>
  <si>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</si>
  <si>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</si>
  <si>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</si>
  <si>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</si>
  <si>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</si>
  <si>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</si>
  <si>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</si>
  <si>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</si>
  <si>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</si>
  <si>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</si>
  <si>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</si>
  <si>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</si>
  <si>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</si>
  <si>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</si>
  <si>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</si>
  <si>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</si>
  <si>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</si>
  <si>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</si>
  <si>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</si>
  <si>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</si>
  <si>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</si>
  <si>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</si>
  <si>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</si>
  <si>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</si>
  <si>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</si>
  <si>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</si>
  <si>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</si>
  <si>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</si>
  <si>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</si>
  <si>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</si>
  <si>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</si>
  <si>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</si>
  <si>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</si>
  <si>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</si>
  <si>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</si>
  <si>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</si>
  <si>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</si>
  <si>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</si>
  <si>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</si>
  <si>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</si>
  <si>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</si>
  <si>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</si>
  <si>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</si>
  <si>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</si>
  <si>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</si>
  <si>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</si>
  <si>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</si>
  <si>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</si>
  <si>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</si>
  <si>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</si>
  <si>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</si>
  <si>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</si>
  <si>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</si>
  <si>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</si>
  <si>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</si>
  <si>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</si>
  <si>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</si>
  <si>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</si>
  <si>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</si>
  <si>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</si>
  <si>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</si>
  <si>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</si>
  <si>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</si>
  <si>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</si>
  <si>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</si>
  <si>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</si>
  <si>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</si>
  <si>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</si>
  <si>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</si>
  <si>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</si>
  <si>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</si>
  <si>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</si>
  <si>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</si>
  <si>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</si>
  <si>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</si>
  <si>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</si>
  <si>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</si>
  <si>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</si>
  <si>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</si>
  <si>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</si>
  <si>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</si>
  <si>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</si>
  <si>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</si>
  <si>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</si>
  <si>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</si>
  <si>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</si>
  <si>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</si>
  <si>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</si>
  <si>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</si>
  <si>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</si>
  <si>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</si>
  <si>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</si>
  <si>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</si>
  <si>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</si>
  <si>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</si>
  <si>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</si>
  <si>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</si>
  <si>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</si>
  <si>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</si>
  <si>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</si>
  <si>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</si>
  <si>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</si>
  <si>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</si>
  <si>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</si>
  <si>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</si>
  <si>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</si>
  <si>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</si>
  <si>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</si>
  <si>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</si>
  <si>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</si>
  <si>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</si>
  <si>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</si>
  <si>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</si>
  <si>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</si>
  <si>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</si>
  <si>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</si>
  <si>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</si>
  <si>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</si>
  <si>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</si>
  <si>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</si>
  <si>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</si>
  <si>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</si>
  <si>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</si>
  <si>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</si>
  <si>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</si>
  <si>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</si>
  <si>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</si>
  <si>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</si>
  <si>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</si>
  <si>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</si>
  <si>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</si>
  <si>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</si>
  <si>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</si>
  <si>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</si>
  <si>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</si>
  <si>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</si>
  <si>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</si>
  <si>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</si>
  <si>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</si>
  <si>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</si>
  <si>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</si>
  <si>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</si>
  <si>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</si>
  <si>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</si>
  <si>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</si>
  <si>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</si>
  <si>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</si>
  <si>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</si>
  <si>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</si>
  <si>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</si>
  <si>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</si>
  <si>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</si>
  <si>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</si>
  <si>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</si>
  <si>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</si>
  <si>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</si>
  <si>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</si>
  <si>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</si>
  <si>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</si>
  <si>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</si>
  <si>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</si>
  <si>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</si>
  <si>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</si>
  <si>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</si>
  <si>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</si>
  <si>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</si>
  <si>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</si>
  <si>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</si>
  <si>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24045</t>
  </si>
  <si>
    <t>HULDENBERG</t>
  </si>
  <si>
    <t>Cultuurgrond (ha)</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</si>
  <si>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</si>
  <si>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</si>
  <si>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</si>
  <si>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</si>
  <si>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</si>
  <si>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</si>
  <si>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</si>
  <si>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</si>
  <si>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(vloeibaar)</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</si>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</sst>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97564.437513350975</c:v>
                </c:pt>
                <c:pt idx="1">
                  <c:v>24821.419466923438</c:v>
                </c:pt>
                <c:pt idx="2">
                  <c:v>712.39599999999996</c:v>
                </c:pt>
                <c:pt idx="3">
                  <c:v>1827.6072054244714</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97564.437513350975</c:v>
                </c:pt>
                <c:pt idx="1">
                  <c:v>24821.419466923438</c:v>
                </c:pt>
                <c:pt idx="2">
                  <c:v>712.39599999999996</c:v>
                </c:pt>
                <c:pt idx="3">
                  <c:v>1827.6072054244714</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19744.1058031006</c:v>
                </c:pt>
                <c:pt idx="2">
                  <c:v>4815.0219690555859</c:v>
                </c:pt>
                <c:pt idx="3">
                  <c:v>127.27575507216459</c:v>
                </c:pt>
                <c:pt idx="4">
                  <c:v>455.93883893542551</c:v>
                </c:pt>
                <c:pt idx="5">
                  <c:v>560.04607107009031</c:v>
                </c:pt>
                <c:pt idx="6">
                  <c:v>14762.983941899081</c:v>
                </c:pt>
                <c:pt idx="7">
                  <c:v>643.25352284197504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17920"/>
      </c:barChart>
      <c:catAx>
        <c:axId val="182807936"/>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19744.1058031006</c:v>
                </c:pt>
                <c:pt idx="2">
                  <c:v>4815.0219690555859</c:v>
                </c:pt>
                <c:pt idx="3">
                  <c:v>127.27575507216459</c:v>
                </c:pt>
                <c:pt idx="4">
                  <c:v>455.93883893542551</c:v>
                </c:pt>
                <c:pt idx="5">
                  <c:v>560.04607107009031</c:v>
                </c:pt>
                <c:pt idx="6">
                  <c:v>14762.983941899081</c:v>
                </c:pt>
                <c:pt idx="7">
                  <c:v>643.25352284197504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24045</v>
      </c>
      <c r="B6" s="398"/>
      <c r="C6" s="399"/>
    </row>
    <row r="7" spans="1:7" s="396" customFormat="1" ht="15.75" customHeight="1">
      <c r="A7" s="400" t="str">
        <f>txtMunicipality</f>
        <v>HULDENBERG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14547.518746238762</v>
      </c>
      <c r="D10" s="690">
        <f ca="1">tertiair!C16</f>
        <v>60.75</v>
      </c>
      <c r="E10" s="690">
        <f ca="1">tertiair!D16</f>
        <v>8680.9677697786829</v>
      </c>
      <c r="F10" s="690">
        <f>tertiair!E16</f>
        <v>81.45860503055556</v>
      </c>
      <c r="G10" s="690">
        <f ca="1">tertiair!F16</f>
        <v>2139.3636792087727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19.066666666666666</v>
      </c>
      <c r="R10" s="693">
        <f ca="1">SUM(C10:Q10)</f>
        <v>25533.815466923439</v>
      </c>
      <c r="S10" s="67"/>
    </row>
    <row r="11" spans="1:19" s="458" customFormat="1">
      <c r="A11" s="805" t="s">
        <v>225</v>
      </c>
      <c r="B11" s="810"/>
      <c r="C11" s="690">
        <f>huishoudens!B8</f>
        <v>18397.104252228299</v>
      </c>
      <c r="D11" s="690">
        <f>huishoudens!C8</f>
        <v>0</v>
      </c>
      <c r="E11" s="690">
        <f>huishoudens!D8</f>
        <v>27791.680908300186</v>
      </c>
      <c r="F11" s="690">
        <f>huishoudens!E8</f>
        <v>4254.8795277194176</v>
      </c>
      <c r="G11" s="690">
        <f>huishoudens!F8</f>
        <v>36471.26603204148</v>
      </c>
      <c r="H11" s="690">
        <f>huishoudens!G8</f>
        <v>0</v>
      </c>
      <c r="I11" s="690">
        <f>huishoudens!H8</f>
        <v>0</v>
      </c>
      <c r="J11" s="690">
        <f>huishoudens!I8</f>
        <v>0</v>
      </c>
      <c r="K11" s="690">
        <f>huishoudens!J8</f>
        <v>394.62582312517668</v>
      </c>
      <c r="L11" s="690">
        <f>huishoudens!K8</f>
        <v>0</v>
      </c>
      <c r="M11" s="690">
        <f>huishoudens!L8</f>
        <v>0</v>
      </c>
      <c r="N11" s="690">
        <f>huishoudens!M8</f>
        <v>0</v>
      </c>
      <c r="O11" s="690">
        <f>huishoudens!N8</f>
        <v>9842.2509699364109</v>
      </c>
      <c r="P11" s="690">
        <f>huishoudens!O8</f>
        <v>126.63</v>
      </c>
      <c r="Q11" s="691">
        <f>huishoudens!P8</f>
        <v>286</v>
      </c>
      <c r="R11" s="693">
        <f>SUM(C11:Q11)</f>
        <v>97564.437513350975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1170.863606700317</v>
      </c>
      <c r="D13" s="690">
        <f>industrie!C18</f>
        <v>0</v>
      </c>
      <c r="E13" s="690">
        <f>industrie!D18</f>
        <v>628.53575508186168</v>
      </c>
      <c r="F13" s="690">
        <f>industrie!E18</f>
        <v>175.09872822138519</v>
      </c>
      <c r="G13" s="690">
        <f>industrie!F18</f>
        <v>688.01443592969042</v>
      </c>
      <c r="H13" s="690">
        <f>industrie!G18</f>
        <v>0</v>
      </c>
      <c r="I13" s="690">
        <f>industrie!H18</f>
        <v>0</v>
      </c>
      <c r="J13" s="690">
        <f>industrie!I18</f>
        <v>0</v>
      </c>
      <c r="K13" s="690">
        <f>industrie!J18</f>
        <v>1.2700382920600206</v>
      </c>
      <c r="L13" s="690">
        <f>industrie!K18</f>
        <v>0</v>
      </c>
      <c r="M13" s="690">
        <f>industrie!L18</f>
        <v>0</v>
      </c>
      <c r="N13" s="690">
        <f>industrie!M18</f>
        <v>0</v>
      </c>
      <c r="O13" s="690">
        <f>industrie!N18</f>
        <v>305.78684054779819</v>
      </c>
      <c r="P13" s="690">
        <f>industrie!O18</f>
        <v>0</v>
      </c>
      <c r="Q13" s="691">
        <f>industrie!P18</f>
        <v>0</v>
      </c>
      <c r="R13" s="693">
        <f>SUM(C13:Q13)</f>
        <v>2969.5694047731131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34115.486605167382</v>
      </c>
      <c r="D16" s="725">
        <f t="shared" ref="D16:R16" ca="1" si="0">SUM(D9:D15)</f>
        <v>60.75</v>
      </c>
      <c r="E16" s="725">
        <f t="shared" ca="1" si="0"/>
        <v>37101.184433160728</v>
      </c>
      <c r="F16" s="725">
        <f t="shared" si="0"/>
        <v>4511.4368609713583</v>
      </c>
      <c r="G16" s="725">
        <f t="shared" ca="1" si="0"/>
        <v>39298.644147179941</v>
      </c>
      <c r="H16" s="725">
        <f t="shared" si="0"/>
        <v>0</v>
      </c>
      <c r="I16" s="725">
        <f t="shared" si="0"/>
        <v>0</v>
      </c>
      <c r="J16" s="725">
        <f t="shared" si="0"/>
        <v>0</v>
      </c>
      <c r="K16" s="725">
        <f t="shared" si="0"/>
        <v>395.89586141723669</v>
      </c>
      <c r="L16" s="725">
        <f t="shared" si="0"/>
        <v>0</v>
      </c>
      <c r="M16" s="725">
        <f t="shared" ca="1" si="0"/>
        <v>0</v>
      </c>
      <c r="N16" s="725">
        <f t="shared" si="0"/>
        <v>0</v>
      </c>
      <c r="O16" s="725">
        <f t="shared" ca="1" si="0"/>
        <v>10148.037810484209</v>
      </c>
      <c r="P16" s="725">
        <f t="shared" si="0"/>
        <v>131.32</v>
      </c>
      <c r="Q16" s="725">
        <f t="shared" si="0"/>
        <v>305.06666666666666</v>
      </c>
      <c r="R16" s="725">
        <f t="shared" ca="1" si="0"/>
        <v>126067.82238504752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2409.1892241272471</v>
      </c>
      <c r="I19" s="690">
        <f>transport!H54</f>
        <v>0</v>
      </c>
      <c r="J19" s="690">
        <f>transport!I54</f>
        <v>0</v>
      </c>
      <c r="K19" s="690">
        <f>transport!J54</f>
        <v>0</v>
      </c>
      <c r="L19" s="690">
        <f>transport!K54</f>
        <v>0</v>
      </c>
      <c r="M19" s="690">
        <f>transport!L54</f>
        <v>0</v>
      </c>
      <c r="N19" s="690">
        <f>transport!M54</f>
        <v>107.14253747232061</v>
      </c>
      <c r="O19" s="690">
        <f>transport!N54</f>
        <v>0</v>
      </c>
      <c r="P19" s="690">
        <f>transport!O54</f>
        <v>0</v>
      </c>
      <c r="Q19" s="691">
        <f>transport!P54</f>
        <v>0</v>
      </c>
      <c r="R19" s="693">
        <f>SUM(C19:Q19)</f>
        <v>2516.3317615995679</v>
      </c>
      <c r="S19" s="67"/>
    </row>
    <row r="20" spans="1:19" s="458" customFormat="1">
      <c r="A20" s="805" t="s">
        <v>307</v>
      </c>
      <c r="B20" s="810"/>
      <c r="C20" s="690">
        <f>transport!B14</f>
        <v>3.7807577269860375</v>
      </c>
      <c r="D20" s="690">
        <f>transport!C14</f>
        <v>0</v>
      </c>
      <c r="E20" s="690">
        <f>transport!D14</f>
        <v>7.3961072172570992</v>
      </c>
      <c r="F20" s="690">
        <f>transport!E14</f>
        <v>220.74921343871043</v>
      </c>
      <c r="G20" s="690">
        <f>transport!F14</f>
        <v>0</v>
      </c>
      <c r="H20" s="690">
        <f>transport!G14</f>
        <v>44891.918402257688</v>
      </c>
      <c r="I20" s="690">
        <f>transport!H14</f>
        <v>10942.016779375581</v>
      </c>
      <c r="J20" s="690">
        <f>transport!I14</f>
        <v>0</v>
      </c>
      <c r="K20" s="690">
        <f>transport!J14</f>
        <v>0</v>
      </c>
      <c r="L20" s="690">
        <f>transport!K14</f>
        <v>0</v>
      </c>
      <c r="M20" s="690">
        <f>transport!L14</f>
        <v>0</v>
      </c>
      <c r="N20" s="690">
        <f>transport!M14</f>
        <v>2525.5676183370047</v>
      </c>
      <c r="O20" s="690">
        <f>transport!N14</f>
        <v>0</v>
      </c>
      <c r="P20" s="690">
        <f>transport!O14</f>
        <v>0</v>
      </c>
      <c r="Q20" s="691">
        <f>transport!P14</f>
        <v>0</v>
      </c>
      <c r="R20" s="693">
        <f>SUM(C20:Q20)</f>
        <v>58591.428878353225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3.7807577269860375</v>
      </c>
      <c r="D22" s="808">
        <f t="shared" ref="D22:R22" si="1">SUM(D18:D21)</f>
        <v>0</v>
      </c>
      <c r="E22" s="808">
        <f t="shared" si="1"/>
        <v>7.3961072172570992</v>
      </c>
      <c r="F22" s="808">
        <f t="shared" si="1"/>
        <v>220.74921343871043</v>
      </c>
      <c r="G22" s="808">
        <f t="shared" si="1"/>
        <v>0</v>
      </c>
      <c r="H22" s="808">
        <f t="shared" si="1"/>
        <v>47301.107626384939</v>
      </c>
      <c r="I22" s="808">
        <f t="shared" si="1"/>
        <v>10942.016779375581</v>
      </c>
      <c r="J22" s="808">
        <f t="shared" si="1"/>
        <v>0</v>
      </c>
      <c r="K22" s="808">
        <f t="shared" si="1"/>
        <v>0</v>
      </c>
      <c r="L22" s="808">
        <f t="shared" si="1"/>
        <v>0</v>
      </c>
      <c r="M22" s="808">
        <f t="shared" si="1"/>
        <v>0</v>
      </c>
      <c r="N22" s="808">
        <f t="shared" si="1"/>
        <v>2632.7101558093254</v>
      </c>
      <c r="O22" s="808">
        <f t="shared" si="1"/>
        <v>0</v>
      </c>
      <c r="P22" s="808">
        <f t="shared" si="1"/>
        <v>0</v>
      </c>
      <c r="Q22" s="808">
        <f t="shared" si="1"/>
        <v>0</v>
      </c>
      <c r="R22" s="808">
        <f t="shared" si="1"/>
        <v>61107.760639952794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387.15988477323742</v>
      </c>
      <c r="D24" s="690">
        <f>+landbouw!C8</f>
        <v>0</v>
      </c>
      <c r="E24" s="690">
        <f>+landbouw!D8</f>
        <v>41.545569933941636</v>
      </c>
      <c r="F24" s="690">
        <f>+landbouw!E8</f>
        <v>4.878713311483228</v>
      </c>
      <c r="G24" s="690">
        <f>+landbouw!F8</f>
        <v>1335.7985918141558</v>
      </c>
      <c r="H24" s="690">
        <f>+landbouw!G8</f>
        <v>0</v>
      </c>
      <c r="I24" s="690">
        <f>+landbouw!H8</f>
        <v>0</v>
      </c>
      <c r="J24" s="690">
        <f>+landbouw!I8</f>
        <v>0</v>
      </c>
      <c r="K24" s="690">
        <f>+landbouw!J8</f>
        <v>58.224445591653314</v>
      </c>
      <c r="L24" s="690">
        <f>+landbouw!K8</f>
        <v>0</v>
      </c>
      <c r="M24" s="690">
        <f>+landbouw!L8</f>
        <v>0</v>
      </c>
      <c r="N24" s="690">
        <f>+landbouw!M8</f>
        <v>0</v>
      </c>
      <c r="O24" s="690">
        <f>+landbouw!N8</f>
        <v>0</v>
      </c>
      <c r="P24" s="690">
        <f>+landbouw!O8</f>
        <v>0</v>
      </c>
      <c r="Q24" s="691">
        <f>+landbouw!P8</f>
        <v>0</v>
      </c>
      <c r="R24" s="693">
        <f>SUM(C24:Q24)</f>
        <v>1827.6072054244714</v>
      </c>
      <c r="S24" s="67"/>
    </row>
    <row r="25" spans="1:19" s="458" customFormat="1" ht="15" thickBot="1">
      <c r="A25" s="827" t="s">
        <v>872</v>
      </c>
      <c r="B25" s="1004"/>
      <c r="C25" s="1005">
        <f>IF(Onbekend_ele_kWh="---",0,Onbekend_ele_kWh)/1000+IF(REST_rest_ele_kWh="---",0,REST_rest_ele_kWh)/1000</f>
        <v>718.67907938551105</v>
      </c>
      <c r="D25" s="1005"/>
      <c r="E25" s="1005">
        <f>IF(onbekend_gas_kWh="---",0,onbekend_gas_kWh)/1000+IF(REST_rest_gas_kWh="---",0,REST_rest_gas_kWh)/1000</f>
        <v>1024.5885011672699</v>
      </c>
      <c r="F25" s="1005"/>
      <c r="G25" s="1005"/>
      <c r="H25" s="1005"/>
      <c r="I25" s="1005"/>
      <c r="J25" s="1005"/>
      <c r="K25" s="1005"/>
      <c r="L25" s="1005"/>
      <c r="M25" s="1005"/>
      <c r="N25" s="1005"/>
      <c r="O25" s="1005"/>
      <c r="P25" s="1005"/>
      <c r="Q25" s="1006"/>
      <c r="R25" s="693">
        <f>SUM(C25:Q25)</f>
        <v>1743.2675805527811</v>
      </c>
      <c r="S25" s="67"/>
    </row>
    <row r="26" spans="1:19" s="458" customFormat="1" ht="15.75" thickBot="1">
      <c r="A26" s="698" t="s">
        <v>873</v>
      </c>
      <c r="B26" s="813"/>
      <c r="C26" s="808">
        <f>SUM(C24:C25)</f>
        <v>1105.8389641587485</v>
      </c>
      <c r="D26" s="808">
        <f t="shared" ref="D26:R26" si="2">SUM(D24:D25)</f>
        <v>0</v>
      </c>
      <c r="E26" s="808">
        <f t="shared" si="2"/>
        <v>1066.1340711012115</v>
      </c>
      <c r="F26" s="808">
        <f t="shared" si="2"/>
        <v>4.878713311483228</v>
      </c>
      <c r="G26" s="808">
        <f t="shared" si="2"/>
        <v>1335.7985918141558</v>
      </c>
      <c r="H26" s="808">
        <f t="shared" si="2"/>
        <v>0</v>
      </c>
      <c r="I26" s="808">
        <f t="shared" si="2"/>
        <v>0</v>
      </c>
      <c r="J26" s="808">
        <f t="shared" si="2"/>
        <v>0</v>
      </c>
      <c r="K26" s="808">
        <f t="shared" si="2"/>
        <v>58.224445591653314</v>
      </c>
      <c r="L26" s="808">
        <f t="shared" si="2"/>
        <v>0</v>
      </c>
      <c r="M26" s="808">
        <f t="shared" si="2"/>
        <v>0</v>
      </c>
      <c r="N26" s="808">
        <f t="shared" si="2"/>
        <v>0</v>
      </c>
      <c r="O26" s="808">
        <f t="shared" si="2"/>
        <v>0</v>
      </c>
      <c r="P26" s="808">
        <f t="shared" si="2"/>
        <v>0</v>
      </c>
      <c r="Q26" s="808">
        <f t="shared" si="2"/>
        <v>0</v>
      </c>
      <c r="R26" s="808">
        <f t="shared" si="2"/>
        <v>3570.8747859772525</v>
      </c>
      <c r="S26" s="67"/>
    </row>
    <row r="27" spans="1:19" s="458" customFormat="1" ht="17.25" thickTop="1" thickBot="1">
      <c r="A27" s="699" t="s">
        <v>116</v>
      </c>
      <c r="B27" s="800"/>
      <c r="C27" s="700">
        <f ca="1">C22+C16+C26</f>
        <v>35225.106327053116</v>
      </c>
      <c r="D27" s="700">
        <f t="shared" ref="D27:R27" ca="1" si="3">D22+D16+D26</f>
        <v>60.75</v>
      </c>
      <c r="E27" s="700">
        <f t="shared" ca="1" si="3"/>
        <v>38174.714611479198</v>
      </c>
      <c r="F27" s="700">
        <f t="shared" si="3"/>
        <v>4737.0647877215515</v>
      </c>
      <c r="G27" s="700">
        <f t="shared" ca="1" si="3"/>
        <v>40634.442738994097</v>
      </c>
      <c r="H27" s="700">
        <f t="shared" si="3"/>
        <v>47301.107626384939</v>
      </c>
      <c r="I27" s="700">
        <f t="shared" si="3"/>
        <v>10942.016779375581</v>
      </c>
      <c r="J27" s="700">
        <f t="shared" si="3"/>
        <v>0</v>
      </c>
      <c r="K27" s="700">
        <f t="shared" si="3"/>
        <v>454.12030700888999</v>
      </c>
      <c r="L27" s="700">
        <f t="shared" si="3"/>
        <v>0</v>
      </c>
      <c r="M27" s="700">
        <f t="shared" ca="1" si="3"/>
        <v>0</v>
      </c>
      <c r="N27" s="700">
        <f t="shared" si="3"/>
        <v>2632.7101558093254</v>
      </c>
      <c r="O27" s="700">
        <f t="shared" ca="1" si="3"/>
        <v>10148.037810484209</v>
      </c>
      <c r="P27" s="700">
        <f t="shared" si="3"/>
        <v>131.32</v>
      </c>
      <c r="Q27" s="700">
        <f t="shared" si="3"/>
        <v>305.06666666666666</v>
      </c>
      <c r="R27" s="700">
        <f t="shared" ca="1" si="3"/>
        <v>190746.45781097756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2599.0410289417787</v>
      </c>
      <c r="D40" s="690">
        <f ca="1">tertiair!C20</f>
        <v>0</v>
      </c>
      <c r="E40" s="690">
        <f ca="1">tertiair!D20</f>
        <v>1753.5554894952941</v>
      </c>
      <c r="F40" s="690">
        <f>tertiair!E20</f>
        <v>18.491103341936114</v>
      </c>
      <c r="G40" s="690">
        <f ca="1">tertiair!F20</f>
        <v>571.21010234874234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4942.2977241277504</v>
      </c>
    </row>
    <row r="41" spans="1:18">
      <c r="A41" s="818" t="s">
        <v>225</v>
      </c>
      <c r="B41" s="825"/>
      <c r="C41" s="690">
        <f ca="1">huishoudens!B12</f>
        <v>3286.8030348902671</v>
      </c>
      <c r="D41" s="690">
        <f ca="1">huishoudens!C12</f>
        <v>0</v>
      </c>
      <c r="E41" s="690">
        <f>huishoudens!D12</f>
        <v>5613.919543476638</v>
      </c>
      <c r="F41" s="690">
        <f>huishoudens!E12</f>
        <v>965.85765279230782</v>
      </c>
      <c r="G41" s="690">
        <f>huishoudens!F12</f>
        <v>9737.8280305550761</v>
      </c>
      <c r="H41" s="690">
        <f>huishoudens!G12</f>
        <v>0</v>
      </c>
      <c r="I41" s="690">
        <f>huishoudens!H12</f>
        <v>0</v>
      </c>
      <c r="J41" s="690">
        <f>huishoudens!I12</f>
        <v>0</v>
      </c>
      <c r="K41" s="690">
        <f>huishoudens!J12</f>
        <v>139.69754138631254</v>
      </c>
      <c r="L41" s="690">
        <f>huishoudens!K12</f>
        <v>0</v>
      </c>
      <c r="M41" s="690">
        <f>huishoudens!L12</f>
        <v>0</v>
      </c>
      <c r="N41" s="690">
        <f>huishoudens!M12</f>
        <v>0</v>
      </c>
      <c r="O41" s="690">
        <f>huishoudens!N12</f>
        <v>0</v>
      </c>
      <c r="P41" s="690">
        <f>huishoudens!O12</f>
        <v>0</v>
      </c>
      <c r="Q41" s="767">
        <f>huishoudens!P12</f>
        <v>0</v>
      </c>
      <c r="R41" s="846">
        <f t="shared" ca="1" si="4"/>
        <v>19744.1058031006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209.18498928868325</v>
      </c>
      <c r="D43" s="690">
        <f ca="1">industrie!C22</f>
        <v>0</v>
      </c>
      <c r="E43" s="690">
        <f>industrie!D22</f>
        <v>126.96422252653606</v>
      </c>
      <c r="F43" s="690">
        <f>industrie!E22</f>
        <v>39.747411306254442</v>
      </c>
      <c r="G43" s="690">
        <f>industrie!F22</f>
        <v>183.69985439322735</v>
      </c>
      <c r="H43" s="690">
        <f>industrie!G22</f>
        <v>0</v>
      </c>
      <c r="I43" s="690">
        <f>industrie!H22</f>
        <v>0</v>
      </c>
      <c r="J43" s="690">
        <f>industrie!I22</f>
        <v>0</v>
      </c>
      <c r="K43" s="690">
        <f>industrie!J22</f>
        <v>0.44959355538924728</v>
      </c>
      <c r="L43" s="690">
        <f>industrie!K22</f>
        <v>0</v>
      </c>
      <c r="M43" s="690">
        <f>industrie!L22</f>
        <v>0</v>
      </c>
      <c r="N43" s="690">
        <f>industrie!M22</f>
        <v>0</v>
      </c>
      <c r="O43" s="690">
        <f>industrie!N22</f>
        <v>0</v>
      </c>
      <c r="P43" s="690">
        <f>industrie!O22</f>
        <v>0</v>
      </c>
      <c r="Q43" s="767">
        <f>industrie!P22</f>
        <v>0</v>
      </c>
      <c r="R43" s="845">
        <f t="shared" ca="1" si="4"/>
        <v>560.04607107009031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6095.0290531207293</v>
      </c>
      <c r="D46" s="725">
        <f t="shared" ref="D46:Q46" ca="1" si="5">SUM(D39:D45)</f>
        <v>0</v>
      </c>
      <c r="E46" s="725">
        <f t="shared" ca="1" si="5"/>
        <v>7494.4392554984679</v>
      </c>
      <c r="F46" s="725">
        <f t="shared" si="5"/>
        <v>1024.0961674404984</v>
      </c>
      <c r="G46" s="725">
        <f t="shared" ca="1" si="5"/>
        <v>10492.737987297047</v>
      </c>
      <c r="H46" s="725">
        <f t="shared" si="5"/>
        <v>0</v>
      </c>
      <c r="I46" s="725">
        <f t="shared" si="5"/>
        <v>0</v>
      </c>
      <c r="J46" s="725">
        <f t="shared" si="5"/>
        <v>0</v>
      </c>
      <c r="K46" s="725">
        <f t="shared" si="5"/>
        <v>140.14713494170178</v>
      </c>
      <c r="L46" s="725">
        <f t="shared" si="5"/>
        <v>0</v>
      </c>
      <c r="M46" s="725">
        <f t="shared" ca="1" si="5"/>
        <v>0</v>
      </c>
      <c r="N46" s="725">
        <f t="shared" si="5"/>
        <v>0</v>
      </c>
      <c r="O46" s="725">
        <f t="shared" ca="1" si="5"/>
        <v>0</v>
      </c>
      <c r="P46" s="725">
        <f t="shared" si="5"/>
        <v>0</v>
      </c>
      <c r="Q46" s="725">
        <f t="shared" si="5"/>
        <v>0</v>
      </c>
      <c r="R46" s="725">
        <f ca="1">SUM(R39:R45)</f>
        <v>25246.449598298441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643.25352284197504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643.25352284197504</v>
      </c>
    </row>
    <row r="50" spans="1:18">
      <c r="A50" s="821" t="s">
        <v>307</v>
      </c>
      <c r="B50" s="831"/>
      <c r="C50" s="696">
        <f ca="1">transport!B18</f>
        <v>0.67546532328517939</v>
      </c>
      <c r="D50" s="696">
        <f>transport!C18</f>
        <v>0</v>
      </c>
      <c r="E50" s="696">
        <f>transport!D18</f>
        <v>1.4940136578859342</v>
      </c>
      <c r="F50" s="696">
        <f>transport!E18</f>
        <v>50.11007145058727</v>
      </c>
      <c r="G50" s="696">
        <f>transport!F18</f>
        <v>0</v>
      </c>
      <c r="H50" s="696">
        <f>transport!G18</f>
        <v>11986.142213402803</v>
      </c>
      <c r="I50" s="696">
        <f>transport!H18</f>
        <v>2724.5621780645197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14762.983941899081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0.67546532328517939</v>
      </c>
      <c r="D52" s="725">
        <f t="shared" ref="D52:Q52" ca="1" si="6">SUM(D48:D51)</f>
        <v>0</v>
      </c>
      <c r="E52" s="725">
        <f t="shared" si="6"/>
        <v>1.4940136578859342</v>
      </c>
      <c r="F52" s="725">
        <f t="shared" si="6"/>
        <v>50.11007145058727</v>
      </c>
      <c r="G52" s="725">
        <f t="shared" si="6"/>
        <v>0</v>
      </c>
      <c r="H52" s="725">
        <f t="shared" si="6"/>
        <v>12629.395736244778</v>
      </c>
      <c r="I52" s="725">
        <f t="shared" si="6"/>
        <v>2724.5621780645197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15406.237464741056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69.169488133237735</v>
      </c>
      <c r="D54" s="696">
        <f ca="1">+landbouw!C12</f>
        <v>0</v>
      </c>
      <c r="E54" s="696">
        <f>+landbouw!D12</f>
        <v>8.3922051266562114</v>
      </c>
      <c r="F54" s="696">
        <f>+landbouw!E12</f>
        <v>1.1074679217066927</v>
      </c>
      <c r="G54" s="696">
        <f>+landbouw!F12</f>
        <v>356.65822401437958</v>
      </c>
      <c r="H54" s="696">
        <f>+landbouw!G12</f>
        <v>0</v>
      </c>
      <c r="I54" s="696">
        <f>+landbouw!H12</f>
        <v>0</v>
      </c>
      <c r="J54" s="696">
        <f>+landbouw!I12</f>
        <v>0</v>
      </c>
      <c r="K54" s="696">
        <f>+landbouw!J12</f>
        <v>20.61145373944527</v>
      </c>
      <c r="L54" s="696">
        <f>+landbouw!K12</f>
        <v>0</v>
      </c>
      <c r="M54" s="696">
        <f>+landbouw!L12</f>
        <v>0</v>
      </c>
      <c r="N54" s="696">
        <f>+landbouw!M12</f>
        <v>0</v>
      </c>
      <c r="O54" s="696">
        <f>+landbouw!N12</f>
        <v>0</v>
      </c>
      <c r="P54" s="696">
        <f>+landbouw!O12</f>
        <v>0</v>
      </c>
      <c r="Q54" s="697">
        <f>+landbouw!P12</f>
        <v>0</v>
      </c>
      <c r="R54" s="724">
        <f ca="1">SUM(C54:Q54)</f>
        <v>455.93883893542551</v>
      </c>
    </row>
    <row r="55" spans="1:18" ht="15" thickBot="1">
      <c r="A55" s="821" t="s">
        <v>872</v>
      </c>
      <c r="B55" s="831"/>
      <c r="C55" s="696">
        <f ca="1">C25*'EF ele_warmte'!B12</f>
        <v>128.39828197148643</v>
      </c>
      <c r="D55" s="696"/>
      <c r="E55" s="696">
        <f>E25*EF_CO2_aardgas</f>
        <v>206.96687723578853</v>
      </c>
      <c r="F55" s="696"/>
      <c r="G55" s="696"/>
      <c r="H55" s="696"/>
      <c r="I55" s="696"/>
      <c r="J55" s="696"/>
      <c r="K55" s="696"/>
      <c r="L55" s="696"/>
      <c r="M55" s="696"/>
      <c r="N55" s="696"/>
      <c r="O55" s="696"/>
      <c r="P55" s="696"/>
      <c r="Q55" s="697"/>
      <c r="R55" s="724">
        <f ca="1">SUM(C55:Q55)</f>
        <v>335.36515920727493</v>
      </c>
    </row>
    <row r="56" spans="1:18" ht="15.75" thickBot="1">
      <c r="A56" s="819" t="s">
        <v>873</v>
      </c>
      <c r="B56" s="832"/>
      <c r="C56" s="725">
        <f ca="1">SUM(C54:C55)</f>
        <v>197.56777010472416</v>
      </c>
      <c r="D56" s="725">
        <f t="shared" ref="D56:Q56" ca="1" si="7">SUM(D54:D55)</f>
        <v>0</v>
      </c>
      <c r="E56" s="725">
        <f t="shared" si="7"/>
        <v>215.35908236244475</v>
      </c>
      <c r="F56" s="725">
        <f t="shared" si="7"/>
        <v>1.1074679217066927</v>
      </c>
      <c r="G56" s="725">
        <f t="shared" si="7"/>
        <v>356.65822401437958</v>
      </c>
      <c r="H56" s="725">
        <f t="shared" si="7"/>
        <v>0</v>
      </c>
      <c r="I56" s="725">
        <f t="shared" si="7"/>
        <v>0</v>
      </c>
      <c r="J56" s="725">
        <f t="shared" si="7"/>
        <v>0</v>
      </c>
      <c r="K56" s="725">
        <f t="shared" si="7"/>
        <v>20.61145373944527</v>
      </c>
      <c r="L56" s="725">
        <f t="shared" si="7"/>
        <v>0</v>
      </c>
      <c r="M56" s="725">
        <f t="shared" si="7"/>
        <v>0</v>
      </c>
      <c r="N56" s="725">
        <f t="shared" si="7"/>
        <v>0</v>
      </c>
      <c r="O56" s="725">
        <f t="shared" si="7"/>
        <v>0</v>
      </c>
      <c r="P56" s="725">
        <f t="shared" si="7"/>
        <v>0</v>
      </c>
      <c r="Q56" s="726">
        <f t="shared" si="7"/>
        <v>0</v>
      </c>
      <c r="R56" s="727">
        <f ca="1">SUM(R54:R55)</f>
        <v>791.30399814270049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6293.2722885487392</v>
      </c>
      <c r="D61" s="733">
        <f t="shared" ref="D61:Q61" ca="1" si="8">D46+D52+D56</f>
        <v>0</v>
      </c>
      <c r="E61" s="733">
        <f t="shared" ca="1" si="8"/>
        <v>7711.2923515187986</v>
      </c>
      <c r="F61" s="733">
        <f t="shared" si="8"/>
        <v>1075.3137068127926</v>
      </c>
      <c r="G61" s="733">
        <f t="shared" ca="1" si="8"/>
        <v>10849.396211311427</v>
      </c>
      <c r="H61" s="733">
        <f t="shared" si="8"/>
        <v>12629.395736244778</v>
      </c>
      <c r="I61" s="733">
        <f t="shared" si="8"/>
        <v>2724.5621780645197</v>
      </c>
      <c r="J61" s="733">
        <f t="shared" si="8"/>
        <v>0</v>
      </c>
      <c r="K61" s="733">
        <f t="shared" si="8"/>
        <v>160.75858868114705</v>
      </c>
      <c r="L61" s="733">
        <f t="shared" si="8"/>
        <v>0</v>
      </c>
      <c r="M61" s="733">
        <f t="shared" ca="1" si="8"/>
        <v>0</v>
      </c>
      <c r="N61" s="733">
        <f t="shared" si="8"/>
        <v>0</v>
      </c>
      <c r="O61" s="733">
        <f t="shared" ca="1" si="8"/>
        <v>0</v>
      </c>
      <c r="P61" s="733">
        <f t="shared" si="8"/>
        <v>0</v>
      </c>
      <c r="Q61" s="733">
        <f t="shared" si="8"/>
        <v>0</v>
      </c>
      <c r="R61" s="733">
        <f ca="1">R46+R52+R56</f>
        <v>41443.991061182198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0.17865871660167182</v>
      </c>
      <c r="D63" s="776">
        <f t="shared" ca="1" si="9"/>
        <v>0</v>
      </c>
      <c r="E63" s="1011">
        <f t="shared" ca="1" si="9"/>
        <v>0.20200000000000001</v>
      </c>
      <c r="F63" s="776">
        <f t="shared" si="9"/>
        <v>0.22700000000000009</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1830.2611299999999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54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63.529411764705884</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4864.5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13898.571428571429</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6748.7611299999999</v>
      </c>
      <c r="C78" s="748">
        <f>SUM(C72:C77)</f>
        <v>0</v>
      </c>
      <c r="D78" s="749">
        <f t="shared" ref="D78:H78" si="10">SUM(D76:D77)</f>
        <v>0</v>
      </c>
      <c r="E78" s="749">
        <f t="shared" si="10"/>
        <v>0</v>
      </c>
      <c r="F78" s="749">
        <f t="shared" si="10"/>
        <v>0</v>
      </c>
      <c r="G78" s="749">
        <f t="shared" si="10"/>
        <v>0</v>
      </c>
      <c r="H78" s="749">
        <f t="shared" si="10"/>
        <v>0</v>
      </c>
      <c r="I78" s="749">
        <f>SUM(I76:I77)</f>
        <v>63.529411764705884</v>
      </c>
      <c r="J78" s="749">
        <f>SUM(J76:J77)</f>
        <v>13898.571428571429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60.75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71.470588235294116</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60.75</v>
      </c>
      <c r="C90" s="748">
        <f>SUM(C87:C89)</f>
        <v>0</v>
      </c>
      <c r="D90" s="748">
        <f t="shared" ref="D90:H90" si="12">SUM(D87:D89)</f>
        <v>0</v>
      </c>
      <c r="E90" s="748">
        <f t="shared" si="12"/>
        <v>0</v>
      </c>
      <c r="F90" s="748">
        <f t="shared" si="12"/>
        <v>0</v>
      </c>
      <c r="G90" s="748">
        <f t="shared" si="12"/>
        <v>0</v>
      </c>
      <c r="H90" s="748">
        <f t="shared" si="12"/>
        <v>0</v>
      </c>
      <c r="I90" s="748">
        <f>SUM(I87:I89)</f>
        <v>71.470588235294116</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18397.104252228299</v>
      </c>
      <c r="C4" s="462">
        <f>huishoudens!C8</f>
        <v>0</v>
      </c>
      <c r="D4" s="462">
        <f>huishoudens!D8</f>
        <v>27791.680908300186</v>
      </c>
      <c r="E4" s="462">
        <f>huishoudens!E8</f>
        <v>4254.8795277194176</v>
      </c>
      <c r="F4" s="462">
        <f>huishoudens!F8</f>
        <v>36471.26603204148</v>
      </c>
      <c r="G4" s="462">
        <f>huishoudens!G8</f>
        <v>0</v>
      </c>
      <c r="H4" s="462">
        <f>huishoudens!H8</f>
        <v>0</v>
      </c>
      <c r="I4" s="462">
        <f>huishoudens!I8</f>
        <v>0</v>
      </c>
      <c r="J4" s="462">
        <f>huishoudens!J8</f>
        <v>394.62582312517668</v>
      </c>
      <c r="K4" s="462">
        <f>huishoudens!K8</f>
        <v>0</v>
      </c>
      <c r="L4" s="462">
        <f>huishoudens!L8</f>
        <v>0</v>
      </c>
      <c r="M4" s="462">
        <f>huishoudens!M8</f>
        <v>0</v>
      </c>
      <c r="N4" s="462">
        <f>huishoudens!N8</f>
        <v>9842.2509699364109</v>
      </c>
      <c r="O4" s="462">
        <f>huishoudens!O8</f>
        <v>126.63</v>
      </c>
      <c r="P4" s="463">
        <f>huishoudens!P8</f>
        <v>286</v>
      </c>
      <c r="Q4" s="464">
        <f>SUM(B4:P4)</f>
        <v>97564.437513350975</v>
      </c>
    </row>
    <row r="5" spans="1:17">
      <c r="A5" s="461" t="s">
        <v>156</v>
      </c>
      <c r="B5" s="462">
        <f ca="1">tertiair!B16</f>
        <v>13835.122746238761</v>
      </c>
      <c r="C5" s="462">
        <f ca="1">tertiair!C16</f>
        <v>60.75</v>
      </c>
      <c r="D5" s="462">
        <f ca="1">tertiair!D16</f>
        <v>8680.9677697786829</v>
      </c>
      <c r="E5" s="462">
        <f>tertiair!E16</f>
        <v>81.45860503055556</v>
      </c>
      <c r="F5" s="462">
        <f ca="1">tertiair!F16</f>
        <v>2139.3636792087727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19.066666666666666</v>
      </c>
      <c r="Q5" s="461">
        <f t="shared" ref="Q5:Q14" ca="1" si="0">SUM(B5:P5)</f>
        <v>24821.419466923438</v>
      </c>
    </row>
    <row r="6" spans="1:17">
      <c r="A6" s="461" t="s">
        <v>194</v>
      </c>
      <c r="B6" s="462">
        <f>'openbare verlichting'!B8</f>
        <v>712.39599999999996</v>
      </c>
      <c r="C6" s="462"/>
      <c r="D6" s="462"/>
      <c r="E6" s="462"/>
      <c r="F6" s="462"/>
      <c r="G6" s="462"/>
      <c r="H6" s="462"/>
      <c r="I6" s="462"/>
      <c r="J6" s="462"/>
      <c r="K6" s="462"/>
      <c r="L6" s="462"/>
      <c r="M6" s="462"/>
      <c r="N6" s="462"/>
      <c r="O6" s="462"/>
      <c r="P6" s="463"/>
      <c r="Q6" s="461">
        <f t="shared" si="0"/>
        <v>712.39599999999996</v>
      </c>
    </row>
    <row r="7" spans="1:17">
      <c r="A7" s="461" t="s">
        <v>112</v>
      </c>
      <c r="B7" s="462">
        <f>landbouw!B8</f>
        <v>387.15988477323742</v>
      </c>
      <c r="C7" s="462">
        <f>landbouw!C8</f>
        <v>0</v>
      </c>
      <c r="D7" s="462">
        <f>landbouw!D8</f>
        <v>41.545569933941636</v>
      </c>
      <c r="E7" s="462">
        <f>landbouw!E8</f>
        <v>4.878713311483228</v>
      </c>
      <c r="F7" s="462">
        <f>landbouw!F8</f>
        <v>1335.7985918141558</v>
      </c>
      <c r="G7" s="462">
        <f>landbouw!G8</f>
        <v>0</v>
      </c>
      <c r="H7" s="462">
        <f>landbouw!H8</f>
        <v>0</v>
      </c>
      <c r="I7" s="462">
        <f>landbouw!I8</f>
        <v>0</v>
      </c>
      <c r="J7" s="462">
        <f>landbouw!J8</f>
        <v>58.224445591653314</v>
      </c>
      <c r="K7" s="462">
        <f>landbouw!K8</f>
        <v>0</v>
      </c>
      <c r="L7" s="462">
        <f>landbouw!L8</f>
        <v>0</v>
      </c>
      <c r="M7" s="462">
        <f>landbouw!M8</f>
        <v>0</v>
      </c>
      <c r="N7" s="462">
        <f>landbouw!N8</f>
        <v>0</v>
      </c>
      <c r="O7" s="462">
        <f>landbouw!O8</f>
        <v>0</v>
      </c>
      <c r="P7" s="463">
        <f>landbouw!P8</f>
        <v>0</v>
      </c>
      <c r="Q7" s="461">
        <f t="shared" si="0"/>
        <v>1827.6072054244714</v>
      </c>
    </row>
    <row r="8" spans="1:17">
      <c r="A8" s="461" t="s">
        <v>657</v>
      </c>
      <c r="B8" s="462">
        <f>industrie!B18</f>
        <v>1170.863606700317</v>
      </c>
      <c r="C8" s="462">
        <f>industrie!C18</f>
        <v>0</v>
      </c>
      <c r="D8" s="462">
        <f>industrie!D18</f>
        <v>628.53575508186168</v>
      </c>
      <c r="E8" s="462">
        <f>industrie!E18</f>
        <v>175.09872822138519</v>
      </c>
      <c r="F8" s="462">
        <f>industrie!F18</f>
        <v>688.01443592969042</v>
      </c>
      <c r="G8" s="462">
        <f>industrie!G18</f>
        <v>0</v>
      </c>
      <c r="H8" s="462">
        <f>industrie!H18</f>
        <v>0</v>
      </c>
      <c r="I8" s="462">
        <f>industrie!I18</f>
        <v>0</v>
      </c>
      <c r="J8" s="462">
        <f>industrie!J18</f>
        <v>1.2700382920600206</v>
      </c>
      <c r="K8" s="462">
        <f>industrie!K18</f>
        <v>0</v>
      </c>
      <c r="L8" s="462">
        <f>industrie!L18</f>
        <v>0</v>
      </c>
      <c r="M8" s="462">
        <f>industrie!M18</f>
        <v>0</v>
      </c>
      <c r="N8" s="462">
        <f>industrie!N18</f>
        <v>305.78684054779819</v>
      </c>
      <c r="O8" s="462">
        <f>industrie!O18</f>
        <v>0</v>
      </c>
      <c r="P8" s="463">
        <f>industrie!P18</f>
        <v>0</v>
      </c>
      <c r="Q8" s="461">
        <f t="shared" si="0"/>
        <v>2969.5694047731131</v>
      </c>
    </row>
    <row r="9" spans="1:17" s="467" customFormat="1">
      <c r="A9" s="465" t="s">
        <v>574</v>
      </c>
      <c r="B9" s="466">
        <f>transport!B14</f>
        <v>3.7807577269860375</v>
      </c>
      <c r="C9" s="466">
        <f>transport!C14</f>
        <v>0</v>
      </c>
      <c r="D9" s="466">
        <f>transport!D14</f>
        <v>7.3961072172570992</v>
      </c>
      <c r="E9" s="466">
        <f>transport!E14</f>
        <v>220.74921343871043</v>
      </c>
      <c r="F9" s="466">
        <f>transport!F14</f>
        <v>0</v>
      </c>
      <c r="G9" s="466">
        <f>transport!G14</f>
        <v>44891.918402257688</v>
      </c>
      <c r="H9" s="466">
        <f>transport!H14</f>
        <v>10942.016779375581</v>
      </c>
      <c r="I9" s="466">
        <f>transport!I14</f>
        <v>0</v>
      </c>
      <c r="J9" s="466">
        <f>transport!J14</f>
        <v>0</v>
      </c>
      <c r="K9" s="466">
        <f>transport!K14</f>
        <v>0</v>
      </c>
      <c r="L9" s="466">
        <f>transport!L14</f>
        <v>0</v>
      </c>
      <c r="M9" s="466">
        <f>transport!M14</f>
        <v>2525.5676183370047</v>
      </c>
      <c r="N9" s="466">
        <f>transport!N14</f>
        <v>0</v>
      </c>
      <c r="O9" s="466">
        <f>transport!O14</f>
        <v>0</v>
      </c>
      <c r="P9" s="466">
        <f>transport!P14</f>
        <v>0</v>
      </c>
      <c r="Q9" s="465">
        <f>SUM(B9:P9)</f>
        <v>58591.428878353225</v>
      </c>
    </row>
    <row r="10" spans="1:17">
      <c r="A10" s="461" t="s">
        <v>564</v>
      </c>
      <c r="B10" s="462">
        <f>transport!B54</f>
        <v>0</v>
      </c>
      <c r="C10" s="462">
        <f>transport!C54</f>
        <v>0</v>
      </c>
      <c r="D10" s="462">
        <f>transport!D54</f>
        <v>0</v>
      </c>
      <c r="E10" s="462">
        <f>transport!E54</f>
        <v>0</v>
      </c>
      <c r="F10" s="462">
        <f>transport!F54</f>
        <v>0</v>
      </c>
      <c r="G10" s="462">
        <f>transport!G54</f>
        <v>2409.1892241272471</v>
      </c>
      <c r="H10" s="462">
        <f>transport!H54</f>
        <v>0</v>
      </c>
      <c r="I10" s="462">
        <f>transport!I54</f>
        <v>0</v>
      </c>
      <c r="J10" s="462">
        <f>transport!J54</f>
        <v>0</v>
      </c>
      <c r="K10" s="462">
        <f>transport!K54</f>
        <v>0</v>
      </c>
      <c r="L10" s="462">
        <f>transport!L54</f>
        <v>0</v>
      </c>
      <c r="M10" s="462">
        <f>transport!M54</f>
        <v>107.14253747232061</v>
      </c>
      <c r="N10" s="462">
        <f>transport!N54</f>
        <v>0</v>
      </c>
      <c r="O10" s="462">
        <f>transport!O54</f>
        <v>0</v>
      </c>
      <c r="P10" s="463">
        <f>transport!P54</f>
        <v>0</v>
      </c>
      <c r="Q10" s="461">
        <f t="shared" si="0"/>
        <v>2516.3317615995679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718.67907938551105</v>
      </c>
      <c r="C14" s="469"/>
      <c r="D14" s="469">
        <f>'SEAP template'!E25</f>
        <v>1024.5885011672699</v>
      </c>
      <c r="E14" s="469"/>
      <c r="F14" s="469"/>
      <c r="G14" s="469"/>
      <c r="H14" s="469"/>
      <c r="I14" s="469"/>
      <c r="J14" s="469"/>
      <c r="K14" s="469"/>
      <c r="L14" s="469"/>
      <c r="M14" s="469"/>
      <c r="N14" s="469"/>
      <c r="O14" s="469"/>
      <c r="P14" s="470"/>
      <c r="Q14" s="461">
        <f t="shared" si="0"/>
        <v>1743.2675805527811</v>
      </c>
    </row>
    <row r="15" spans="1:17" s="474" customFormat="1">
      <c r="A15" s="471" t="s">
        <v>568</v>
      </c>
      <c r="B15" s="472">
        <f ca="1">SUM(B4:B14)</f>
        <v>35225.106327053109</v>
      </c>
      <c r="C15" s="472">
        <f t="shared" ref="C15:Q15" ca="1" si="1">SUM(C4:C14)</f>
        <v>60.75</v>
      </c>
      <c r="D15" s="472">
        <f t="shared" ca="1" si="1"/>
        <v>38174.714611479205</v>
      </c>
      <c r="E15" s="472">
        <f t="shared" si="1"/>
        <v>4737.0647877215515</v>
      </c>
      <c r="F15" s="472">
        <f t="shared" ca="1" si="1"/>
        <v>40634.442738994097</v>
      </c>
      <c r="G15" s="472">
        <f t="shared" si="1"/>
        <v>47301.107626384939</v>
      </c>
      <c r="H15" s="472">
        <f t="shared" si="1"/>
        <v>10942.016779375581</v>
      </c>
      <c r="I15" s="472">
        <f t="shared" si="1"/>
        <v>0</v>
      </c>
      <c r="J15" s="472">
        <f t="shared" si="1"/>
        <v>454.12030700888999</v>
      </c>
      <c r="K15" s="472">
        <f t="shared" si="1"/>
        <v>0</v>
      </c>
      <c r="L15" s="472">
        <f t="shared" ca="1" si="1"/>
        <v>0</v>
      </c>
      <c r="M15" s="472">
        <f t="shared" si="1"/>
        <v>2632.7101558093254</v>
      </c>
      <c r="N15" s="472">
        <f t="shared" ca="1" si="1"/>
        <v>10148.037810484209</v>
      </c>
      <c r="O15" s="472">
        <f t="shared" si="1"/>
        <v>131.32</v>
      </c>
      <c r="P15" s="472">
        <f t="shared" si="1"/>
        <v>305.06666666666666</v>
      </c>
      <c r="Q15" s="472">
        <f t="shared" ca="1" si="1"/>
        <v>190746.45781097759</v>
      </c>
    </row>
    <row r="17" spans="1:17">
      <c r="A17" s="475" t="s">
        <v>569</v>
      </c>
      <c r="B17" s="781">
        <f ca="1">huishoudens!B10</f>
        <v>0.17865871660167182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3286.8030348902671</v>
      </c>
      <c r="C22" s="462">
        <f t="shared" ref="C22:C32" ca="1" si="3">C4*$C$17</f>
        <v>0</v>
      </c>
      <c r="D22" s="462">
        <f t="shared" ref="D22:D32" si="4">D4*$D$17</f>
        <v>5613.919543476638</v>
      </c>
      <c r="E22" s="462">
        <f t="shared" ref="E22:E32" si="5">E4*$E$17</f>
        <v>965.85765279230782</v>
      </c>
      <c r="F22" s="462">
        <f t="shared" ref="F22:F32" si="6">F4*$F$17</f>
        <v>9737.8280305550761</v>
      </c>
      <c r="G22" s="462">
        <f t="shared" ref="G22:G32" si="7">G4*$G$17</f>
        <v>0</v>
      </c>
      <c r="H22" s="462">
        <f t="shared" ref="H22:H32" si="8">H4*$H$17</f>
        <v>0</v>
      </c>
      <c r="I22" s="462">
        <f t="shared" ref="I22:I32" si="9">I4*$I$17</f>
        <v>0</v>
      </c>
      <c r="J22" s="462">
        <f t="shared" ref="J22:J32" si="10">J4*$J$17</f>
        <v>139.69754138631254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19744.1058031006</v>
      </c>
    </row>
    <row r="23" spans="1:17">
      <c r="A23" s="461" t="s">
        <v>156</v>
      </c>
      <c r="B23" s="462">
        <f t="shared" ca="1" si="2"/>
        <v>2471.7652738696142</v>
      </c>
      <c r="C23" s="462">
        <f t="shared" ca="1" si="3"/>
        <v>0</v>
      </c>
      <c r="D23" s="462">
        <f t="shared" ca="1" si="4"/>
        <v>1753.5554894952941</v>
      </c>
      <c r="E23" s="462">
        <f t="shared" si="5"/>
        <v>18.491103341936114</v>
      </c>
      <c r="F23" s="462">
        <f t="shared" ca="1" si="6"/>
        <v>571.21010234874234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4815.0219690555859</v>
      </c>
    </row>
    <row r="24" spans="1:17">
      <c r="A24" s="461" t="s">
        <v>194</v>
      </c>
      <c r="B24" s="462">
        <f t="shared" ca="1" si="2"/>
        <v>127.27575507216459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127.27575507216459</v>
      </c>
    </row>
    <row r="25" spans="1:17">
      <c r="A25" s="461" t="s">
        <v>112</v>
      </c>
      <c r="B25" s="462">
        <f t="shared" ca="1" si="2"/>
        <v>69.169488133237735</v>
      </c>
      <c r="C25" s="462">
        <f t="shared" ca="1" si="3"/>
        <v>0</v>
      </c>
      <c r="D25" s="462">
        <f t="shared" si="4"/>
        <v>8.3922051266562114</v>
      </c>
      <c r="E25" s="462">
        <f t="shared" si="5"/>
        <v>1.1074679217066927</v>
      </c>
      <c r="F25" s="462">
        <f t="shared" si="6"/>
        <v>356.65822401437958</v>
      </c>
      <c r="G25" s="462">
        <f t="shared" si="7"/>
        <v>0</v>
      </c>
      <c r="H25" s="462">
        <f t="shared" si="8"/>
        <v>0</v>
      </c>
      <c r="I25" s="462">
        <f t="shared" si="9"/>
        <v>0</v>
      </c>
      <c r="J25" s="462">
        <f t="shared" si="10"/>
        <v>20.61145373944527</v>
      </c>
      <c r="K25" s="462">
        <f t="shared" si="11"/>
        <v>0</v>
      </c>
      <c r="L25" s="462">
        <f t="shared" si="12"/>
        <v>0</v>
      </c>
      <c r="M25" s="462">
        <f t="shared" si="13"/>
        <v>0</v>
      </c>
      <c r="N25" s="462">
        <f t="shared" si="14"/>
        <v>0</v>
      </c>
      <c r="O25" s="462">
        <f t="shared" si="15"/>
        <v>0</v>
      </c>
      <c r="P25" s="463">
        <f t="shared" si="16"/>
        <v>0</v>
      </c>
      <c r="Q25" s="461">
        <f t="shared" ca="1" si="17"/>
        <v>455.93883893542551</v>
      </c>
    </row>
    <row r="26" spans="1:17">
      <c r="A26" s="461" t="s">
        <v>657</v>
      </c>
      <c r="B26" s="462">
        <f t="shared" ca="1" si="2"/>
        <v>209.18498928868325</v>
      </c>
      <c r="C26" s="462">
        <f t="shared" ca="1" si="3"/>
        <v>0</v>
      </c>
      <c r="D26" s="462">
        <f t="shared" si="4"/>
        <v>126.96422252653606</v>
      </c>
      <c r="E26" s="462">
        <f t="shared" si="5"/>
        <v>39.747411306254442</v>
      </c>
      <c r="F26" s="462">
        <f t="shared" si="6"/>
        <v>183.69985439322735</v>
      </c>
      <c r="G26" s="462">
        <f t="shared" si="7"/>
        <v>0</v>
      </c>
      <c r="H26" s="462">
        <f t="shared" si="8"/>
        <v>0</v>
      </c>
      <c r="I26" s="462">
        <f t="shared" si="9"/>
        <v>0</v>
      </c>
      <c r="J26" s="462">
        <f t="shared" si="10"/>
        <v>0.44959355538924728</v>
      </c>
      <c r="K26" s="462">
        <f t="shared" si="11"/>
        <v>0</v>
      </c>
      <c r="L26" s="462">
        <f t="shared" si="12"/>
        <v>0</v>
      </c>
      <c r="M26" s="462">
        <f t="shared" si="13"/>
        <v>0</v>
      </c>
      <c r="N26" s="462">
        <f t="shared" si="14"/>
        <v>0</v>
      </c>
      <c r="O26" s="462">
        <f t="shared" si="15"/>
        <v>0</v>
      </c>
      <c r="P26" s="463">
        <f t="shared" si="16"/>
        <v>0</v>
      </c>
      <c r="Q26" s="461">
        <f t="shared" ca="1" si="17"/>
        <v>560.04607107009031</v>
      </c>
    </row>
    <row r="27" spans="1:17" s="467" customFormat="1">
      <c r="A27" s="465" t="s">
        <v>574</v>
      </c>
      <c r="B27" s="775">
        <f t="shared" ca="1" si="2"/>
        <v>0.67546532328517939</v>
      </c>
      <c r="C27" s="466">
        <f t="shared" ca="1" si="3"/>
        <v>0</v>
      </c>
      <c r="D27" s="466">
        <f t="shared" si="4"/>
        <v>1.4940136578859342</v>
      </c>
      <c r="E27" s="466">
        <f t="shared" si="5"/>
        <v>50.11007145058727</v>
      </c>
      <c r="F27" s="466">
        <f t="shared" si="6"/>
        <v>0</v>
      </c>
      <c r="G27" s="466">
        <f t="shared" si="7"/>
        <v>11986.142213402803</v>
      </c>
      <c r="H27" s="466">
        <f t="shared" si="8"/>
        <v>2724.5621780645197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14762.983941899081</v>
      </c>
    </row>
    <row r="28" spans="1:17">
      <c r="A28" s="461" t="s">
        <v>564</v>
      </c>
      <c r="B28" s="462">
        <f t="shared" ca="1" si="2"/>
        <v>0</v>
      </c>
      <c r="C28" s="462">
        <f t="shared" ca="1" si="3"/>
        <v>0</v>
      </c>
      <c r="D28" s="462">
        <f t="shared" si="4"/>
        <v>0</v>
      </c>
      <c r="E28" s="462">
        <f t="shared" si="5"/>
        <v>0</v>
      </c>
      <c r="F28" s="462">
        <f t="shared" si="6"/>
        <v>0</v>
      </c>
      <c r="G28" s="462">
        <f t="shared" si="7"/>
        <v>643.25352284197504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643.25352284197504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128.39828197148643</v>
      </c>
      <c r="C32" s="462">
        <f t="shared" ca="1" si="3"/>
        <v>0</v>
      </c>
      <c r="D32" s="462">
        <f t="shared" si="4"/>
        <v>206.96687723578853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335.36515920727493</v>
      </c>
    </row>
    <row r="33" spans="1:17" s="474" customFormat="1">
      <c r="A33" s="471" t="s">
        <v>568</v>
      </c>
      <c r="B33" s="472">
        <f ca="1">SUM(B22:B32)</f>
        <v>6293.2722885487383</v>
      </c>
      <c r="C33" s="472">
        <f t="shared" ref="C33:Q33" ca="1" si="18">SUM(C22:C32)</f>
        <v>0</v>
      </c>
      <c r="D33" s="472">
        <f t="shared" ca="1" si="18"/>
        <v>7711.2923515187986</v>
      </c>
      <c r="E33" s="472">
        <f t="shared" si="18"/>
        <v>1075.3137068127921</v>
      </c>
      <c r="F33" s="472">
        <f t="shared" ca="1" si="18"/>
        <v>10849.396211311427</v>
      </c>
      <c r="G33" s="472">
        <f t="shared" si="18"/>
        <v>12629.395736244778</v>
      </c>
      <c r="H33" s="472">
        <f t="shared" si="18"/>
        <v>2724.5621780645197</v>
      </c>
      <c r="I33" s="472">
        <f t="shared" si="18"/>
        <v>0</v>
      </c>
      <c r="J33" s="472">
        <f t="shared" si="18"/>
        <v>160.75858868114705</v>
      </c>
      <c r="K33" s="472">
        <f t="shared" si="18"/>
        <v>0</v>
      </c>
      <c r="L33" s="472">
        <f t="shared" ca="1" si="18"/>
        <v>0</v>
      </c>
      <c r="M33" s="472">
        <f t="shared" si="18"/>
        <v>0</v>
      </c>
      <c r="N33" s="472">
        <f t="shared" ca="1" si="18"/>
        <v>0</v>
      </c>
      <c r="O33" s="472">
        <f t="shared" si="18"/>
        <v>0</v>
      </c>
      <c r="P33" s="472">
        <f t="shared" si="18"/>
        <v>0</v>
      </c>
      <c r="Q33" s="472">
        <f t="shared" ca="1" si="18"/>
        <v>41443.991061182198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1830.2611299999999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54</v>
      </c>
      <c r="C8" s="1047">
        <f>'SEAP template'!C76</f>
        <v>0</v>
      </c>
      <c r="D8" s="1047">
        <f>'SEAP template'!D76</f>
        <v>0</v>
      </c>
      <c r="E8" s="1047">
        <f>'SEAP template'!E76</f>
        <v>0</v>
      </c>
      <c r="F8" s="1047">
        <f>'SEAP template'!F76</f>
        <v>0</v>
      </c>
      <c r="G8" s="1047">
        <f>'SEAP template'!G76</f>
        <v>0</v>
      </c>
      <c r="H8" s="1047">
        <f>'SEAP template'!H76</f>
        <v>0</v>
      </c>
      <c r="I8" s="1047">
        <f>'SEAP template'!I76</f>
        <v>63.529411764705884</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4864.5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13898.571428571429</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6748.7611299999999</v>
      </c>
      <c r="C10" s="1051">
        <f>SUM(C4:C9)</f>
        <v>0</v>
      </c>
      <c r="D10" s="1051">
        <f t="shared" ref="D10:H10" si="0">SUM(D8:D9)</f>
        <v>0</v>
      </c>
      <c r="E10" s="1051">
        <f t="shared" si="0"/>
        <v>0</v>
      </c>
      <c r="F10" s="1051">
        <f t="shared" si="0"/>
        <v>0</v>
      </c>
      <c r="G10" s="1051">
        <f t="shared" si="0"/>
        <v>0</v>
      </c>
      <c r="H10" s="1051">
        <f t="shared" si="0"/>
        <v>0</v>
      </c>
      <c r="I10" s="1051">
        <f>SUM(I8:I9)</f>
        <v>63.529411764705884</v>
      </c>
      <c r="J10" s="1051">
        <f>SUM(J8:J9)</f>
        <v>13898.571428571429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0.17865871660167182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60.75</v>
      </c>
      <c r="C17" s="1053">
        <f>'SEAP template'!C87</f>
        <v>0</v>
      </c>
      <c r="D17" s="1048">
        <f>'SEAP template'!D87</f>
        <v>0</v>
      </c>
      <c r="E17" s="1048">
        <f>'SEAP template'!E87</f>
        <v>0</v>
      </c>
      <c r="F17" s="1048">
        <f>'SEAP template'!F87</f>
        <v>0</v>
      </c>
      <c r="G17" s="1048">
        <f>'SEAP template'!G87</f>
        <v>0</v>
      </c>
      <c r="H17" s="1048">
        <f>'SEAP template'!H87</f>
        <v>0</v>
      </c>
      <c r="I17" s="1048">
        <f>'SEAP template'!I87</f>
        <v>71.470588235294116</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60.75</v>
      </c>
      <c r="C20" s="1051">
        <f>SUM(C17:C19)</f>
        <v>0</v>
      </c>
      <c r="D20" s="1051">
        <f t="shared" ref="D20:H20" si="2">SUM(D17:D19)</f>
        <v>0</v>
      </c>
      <c r="E20" s="1051">
        <f t="shared" si="2"/>
        <v>0</v>
      </c>
      <c r="F20" s="1051">
        <f t="shared" si="2"/>
        <v>0</v>
      </c>
      <c r="G20" s="1051">
        <f t="shared" si="2"/>
        <v>0</v>
      </c>
      <c r="H20" s="1051">
        <f t="shared" si="2"/>
        <v>0</v>
      </c>
      <c r="I20" s="1051">
        <f>SUM(I17:I19)</f>
        <v>71.470588235294116</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0.17865871660167182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0.17865871660167182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0.17865871660167182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3757</v>
      </c>
      <c r="C9" s="338">
        <v>3828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1889</v>
      </c>
    </row>
    <row r="15" spans="1:6">
      <c r="A15" s="1295" t="s">
        <v>184</v>
      </c>
      <c r="B15" s="335">
        <v>3</v>
      </c>
    </row>
    <row r="16" spans="1:6">
      <c r="A16" s="1295" t="s">
        <v>6</v>
      </c>
      <c r="B16" s="335">
        <v>356</v>
      </c>
    </row>
    <row r="17" spans="1:6">
      <c r="A17" s="1295" t="s">
        <v>7</v>
      </c>
      <c r="B17" s="335">
        <v>422</v>
      </c>
    </row>
    <row r="18" spans="1:6">
      <c r="A18" s="1295" t="s">
        <v>8</v>
      </c>
      <c r="B18" s="335">
        <v>648</v>
      </c>
    </row>
    <row r="19" spans="1:6">
      <c r="A19" s="1295" t="s">
        <v>9</v>
      </c>
      <c r="B19" s="335">
        <v>561</v>
      </c>
    </row>
    <row r="20" spans="1:6">
      <c r="A20" s="1295" t="s">
        <v>10</v>
      </c>
      <c r="B20" s="335">
        <v>406</v>
      </c>
    </row>
    <row r="21" spans="1:6">
      <c r="A21" s="1295" t="s">
        <v>11</v>
      </c>
      <c r="B21" s="335">
        <v>0</v>
      </c>
    </row>
    <row r="22" spans="1:6">
      <c r="A22" s="1295" t="s">
        <v>12</v>
      </c>
      <c r="B22" s="335">
        <v>784</v>
      </c>
    </row>
    <row r="23" spans="1:6">
      <c r="A23" s="1295" t="s">
        <v>13</v>
      </c>
      <c r="B23" s="335">
        <v>0</v>
      </c>
    </row>
    <row r="24" spans="1:6">
      <c r="A24" s="1295" t="s">
        <v>14</v>
      </c>
      <c r="B24" s="335">
        <v>0</v>
      </c>
    </row>
    <row r="25" spans="1:6">
      <c r="A25" s="1295" t="s">
        <v>15</v>
      </c>
      <c r="B25" s="335">
        <v>0</v>
      </c>
    </row>
    <row r="26" spans="1:6">
      <c r="A26" s="1295" t="s">
        <v>16</v>
      </c>
      <c r="B26" s="335">
        <v>280</v>
      </c>
    </row>
    <row r="27" spans="1:6">
      <c r="A27" s="1295" t="s">
        <v>17</v>
      </c>
      <c r="B27" s="335">
        <v>1</v>
      </c>
    </row>
    <row r="28" spans="1:6" s="341" customFormat="1">
      <c r="A28" s="1296" t="s">
        <v>18</v>
      </c>
      <c r="B28" s="1296">
        <v>27</v>
      </c>
    </row>
    <row r="29" spans="1:6">
      <c r="A29" s="1296" t="s">
        <v>909</v>
      </c>
      <c r="B29" s="1296">
        <v>67</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7674.4057418852999</v>
      </c>
    </row>
    <row r="37" spans="1:6">
      <c r="A37" s="1295" t="s">
        <v>25</v>
      </c>
      <c r="B37" s="1295" t="s">
        <v>28</v>
      </c>
      <c r="C37" s="335">
        <v>0</v>
      </c>
      <c r="D37" s="335">
        <v>0</v>
      </c>
      <c r="E37" s="335">
        <v>0</v>
      </c>
      <c r="F37" s="335">
        <v>0</v>
      </c>
    </row>
    <row r="38" spans="1:6">
      <c r="A38" s="1295" t="s">
        <v>25</v>
      </c>
      <c r="B38" s="1295" t="s">
        <v>29</v>
      </c>
      <c r="C38" s="335">
        <v>0</v>
      </c>
      <c r="D38" s="335">
        <v>0</v>
      </c>
      <c r="E38" s="335">
        <v>2</v>
      </c>
      <c r="F38" s="335">
        <v>8615.1233291903991</v>
      </c>
    </row>
    <row r="39" spans="1:6">
      <c r="A39" s="1295" t="s">
        <v>30</v>
      </c>
      <c r="B39" s="1295" t="s">
        <v>31</v>
      </c>
      <c r="C39" s="335">
        <v>1382</v>
      </c>
      <c r="D39" s="335">
        <v>30811176.1732818</v>
      </c>
      <c r="E39" s="335">
        <v>3595</v>
      </c>
      <c r="F39" s="335">
        <v>16654754.252228299</v>
      </c>
    </row>
    <row r="40" spans="1:6">
      <c r="A40" s="1295" t="s">
        <v>30</v>
      </c>
      <c r="B40" s="1295" t="s">
        <v>29</v>
      </c>
      <c r="C40" s="335">
        <v>0</v>
      </c>
      <c r="D40" s="335">
        <v>0</v>
      </c>
      <c r="E40" s="335">
        <v>0</v>
      </c>
      <c r="F40" s="335">
        <v>0</v>
      </c>
    </row>
    <row r="41" spans="1:6">
      <c r="A41" s="1295" t="s">
        <v>32</v>
      </c>
      <c r="B41" s="1295" t="s">
        <v>33</v>
      </c>
      <c r="C41" s="335">
        <v>0</v>
      </c>
      <c r="D41" s="335">
        <v>0</v>
      </c>
      <c r="E41" s="335">
        <v>55</v>
      </c>
      <c r="F41" s="335">
        <v>494750.32650458999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22956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296915.47428099398</v>
      </c>
      <c r="E48" s="335">
        <v>22</v>
      </c>
      <c r="F48" s="335">
        <v>494697.99389582197</v>
      </c>
    </row>
    <row r="49" spans="1:6">
      <c r="A49" s="1295" t="s">
        <v>32</v>
      </c>
      <c r="B49" s="1295" t="s">
        <v>40</v>
      </c>
      <c r="C49" s="335">
        <v>0</v>
      </c>
      <c r="D49" s="335">
        <v>0</v>
      </c>
      <c r="E49" s="335">
        <v>0</v>
      </c>
      <c r="F49" s="335">
        <v>0</v>
      </c>
    </row>
    <row r="50" spans="1:6">
      <c r="A50" s="1295" t="s">
        <v>32</v>
      </c>
      <c r="B50" s="1295" t="s">
        <v>41</v>
      </c>
      <c r="C50" s="335">
        <v>3</v>
      </c>
      <c r="D50" s="335">
        <v>399909.08789401897</v>
      </c>
      <c r="E50" s="335">
        <v>5</v>
      </c>
      <c r="F50" s="335">
        <v>158459.28629990501</v>
      </c>
    </row>
    <row r="51" spans="1:6">
      <c r="A51" s="1295" t="s">
        <v>42</v>
      </c>
      <c r="B51" s="1295" t="s">
        <v>43</v>
      </c>
      <c r="C51" s="335">
        <v>0</v>
      </c>
      <c r="D51" s="335">
        <v>0</v>
      </c>
      <c r="E51" s="335">
        <v>43</v>
      </c>
      <c r="F51" s="335">
        <v>376885.78728880099</v>
      </c>
    </row>
    <row r="52" spans="1:6">
      <c r="A52" s="1295" t="s">
        <v>42</v>
      </c>
      <c r="B52" s="1295" t="s">
        <v>29</v>
      </c>
      <c r="C52" s="335">
        <v>3</v>
      </c>
      <c r="D52" s="335">
        <v>46059.390170667</v>
      </c>
      <c r="E52" s="335">
        <v>3</v>
      </c>
      <c r="F52" s="335">
        <v>10274.097484436399</v>
      </c>
    </row>
    <row r="53" spans="1:6">
      <c r="A53" s="1295" t="s">
        <v>44</v>
      </c>
      <c r="B53" s="1295" t="s">
        <v>45</v>
      </c>
      <c r="C53" s="335">
        <v>36</v>
      </c>
      <c r="D53" s="335">
        <v>1024588.50116727</v>
      </c>
      <c r="E53" s="335">
        <v>107</v>
      </c>
      <c r="F53" s="335">
        <v>718679.079385511</v>
      </c>
    </row>
    <row r="54" spans="1:6">
      <c r="A54" s="1295" t="s">
        <v>46</v>
      </c>
      <c r="B54" s="1295" t="s">
        <v>47</v>
      </c>
      <c r="C54" s="335">
        <v>0</v>
      </c>
      <c r="D54" s="335">
        <v>0</v>
      </c>
      <c r="E54" s="335">
        <v>1</v>
      </c>
      <c r="F54" s="335">
        <v>712396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488151.40088980802</v>
      </c>
      <c r="E57" s="335">
        <v>31</v>
      </c>
      <c r="F57" s="335">
        <v>3543240.7014329098</v>
      </c>
    </row>
    <row r="58" spans="1:6">
      <c r="A58" s="1295" t="s">
        <v>49</v>
      </c>
      <c r="B58" s="1295" t="s">
        <v>51</v>
      </c>
      <c r="C58" s="335">
        <v>3</v>
      </c>
      <c r="D58" s="335">
        <v>109504.418209886</v>
      </c>
      <c r="E58" s="335">
        <v>4</v>
      </c>
      <c r="F58" s="335">
        <v>15914.4741583258</v>
      </c>
    </row>
    <row r="59" spans="1:6">
      <c r="A59" s="1295" t="s">
        <v>49</v>
      </c>
      <c r="B59" s="1295" t="s">
        <v>52</v>
      </c>
      <c r="C59" s="335">
        <v>12</v>
      </c>
      <c r="D59" s="335">
        <v>359471.08526146697</v>
      </c>
      <c r="E59" s="335">
        <v>60</v>
      </c>
      <c r="F59" s="335">
        <v>1437079.0865266901</v>
      </c>
    </row>
    <row r="60" spans="1:6">
      <c r="A60" s="1295" t="s">
        <v>49</v>
      </c>
      <c r="B60" s="1295" t="s">
        <v>53</v>
      </c>
      <c r="C60" s="335">
        <v>12</v>
      </c>
      <c r="D60" s="335">
        <v>512215.53697445599</v>
      </c>
      <c r="E60" s="335">
        <v>24</v>
      </c>
      <c r="F60" s="335">
        <v>330313.70939620602</v>
      </c>
    </row>
    <row r="61" spans="1:6">
      <c r="A61" s="1295" t="s">
        <v>49</v>
      </c>
      <c r="B61" s="1295" t="s">
        <v>54</v>
      </c>
      <c r="C61" s="335">
        <v>57</v>
      </c>
      <c r="D61" s="335">
        <v>3788093.2254503602</v>
      </c>
      <c r="E61" s="335">
        <v>152</v>
      </c>
      <c r="F61" s="335">
        <v>1406535.9019503701</v>
      </c>
    </row>
    <row r="62" spans="1:6">
      <c r="A62" s="1295" t="s">
        <v>49</v>
      </c>
      <c r="B62" s="1295" t="s">
        <v>55</v>
      </c>
      <c r="C62" s="335">
        <v>0</v>
      </c>
      <c r="D62" s="335">
        <v>0</v>
      </c>
      <c r="E62" s="335">
        <v>3</v>
      </c>
      <c r="F62" s="335">
        <v>546604.76417480002</v>
      </c>
    </row>
    <row r="63" spans="1:6">
      <c r="A63" s="1295" t="s">
        <v>49</v>
      </c>
      <c r="B63" s="1295" t="s">
        <v>29</v>
      </c>
      <c r="C63" s="335">
        <v>61</v>
      </c>
      <c r="D63" s="335">
        <v>4366697.11567376</v>
      </c>
      <c r="E63" s="335">
        <v>79</v>
      </c>
      <c r="F63" s="335">
        <v>1636934.10859946</v>
      </c>
    </row>
    <row r="64" spans="1:6">
      <c r="A64" s="1295" t="s">
        <v>56</v>
      </c>
      <c r="B64" s="1295" t="s">
        <v>57</v>
      </c>
      <c r="C64" s="335">
        <v>0</v>
      </c>
      <c r="D64" s="335">
        <v>0</v>
      </c>
      <c r="E64" s="335">
        <v>0</v>
      </c>
      <c r="F64" s="335">
        <v>0</v>
      </c>
    </row>
    <row r="65" spans="1:6">
      <c r="A65" s="1295" t="s">
        <v>56</v>
      </c>
      <c r="B65" s="1295" t="s">
        <v>29</v>
      </c>
      <c r="C65" s="335">
        <v>1</v>
      </c>
      <c r="D65" s="335">
        <v>41466.610628914998</v>
      </c>
      <c r="E65" s="335">
        <v>2</v>
      </c>
      <c r="F65" s="335">
        <v>215146.08070171499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35454121</v>
      </c>
      <c r="E73" s="335">
        <v>36760845.94896052</v>
      </c>
    </row>
    <row r="74" spans="1:6">
      <c r="A74" s="1295" t="s">
        <v>64</v>
      </c>
      <c r="B74" s="1295" t="s">
        <v>727</v>
      </c>
      <c r="C74" s="1295" t="s">
        <v>728</v>
      </c>
      <c r="D74" s="335">
        <v>1429636.577770846</v>
      </c>
      <c r="E74" s="335">
        <v>1515976.5475850035</v>
      </c>
    </row>
    <row r="75" spans="1:6">
      <c r="A75" s="1295" t="s">
        <v>65</v>
      </c>
      <c r="B75" s="1295" t="s">
        <v>725</v>
      </c>
      <c r="C75" s="1295" t="s">
        <v>729</v>
      </c>
      <c r="D75" s="335">
        <v>33785522</v>
      </c>
      <c r="E75" s="335">
        <v>35138164.25915087</v>
      </c>
    </row>
    <row r="76" spans="1:6">
      <c r="A76" s="1295" t="s">
        <v>65</v>
      </c>
      <c r="B76" s="1295" t="s">
        <v>727</v>
      </c>
      <c r="C76" s="1295" t="s">
        <v>730</v>
      </c>
      <c r="D76" s="335">
        <v>850322.57777084596</v>
      </c>
      <c r="E76" s="335">
        <v>916731.01527965406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664784.84445830795</v>
      </c>
      <c r="C83" s="335">
        <v>658961.78299282189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1742.35</v>
      </c>
    </row>
    <row r="92" spans="1:6">
      <c r="A92" s="1291" t="s">
        <v>69</v>
      </c>
      <c r="B92" s="338">
        <v>87.91113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519</v>
      </c>
    </row>
    <row r="98" spans="1:6">
      <c r="A98" s="1295" t="s">
        <v>72</v>
      </c>
      <c r="B98" s="335">
        <v>1</v>
      </c>
    </row>
    <row r="99" spans="1:6">
      <c r="A99" s="1295" t="s">
        <v>73</v>
      </c>
      <c r="B99" s="335">
        <v>94</v>
      </c>
    </row>
    <row r="100" spans="1:6">
      <c r="A100" s="1295" t="s">
        <v>74</v>
      </c>
      <c r="B100" s="335">
        <v>266</v>
      </c>
    </row>
    <row r="101" spans="1:6">
      <c r="A101" s="1295" t="s">
        <v>75</v>
      </c>
      <c r="B101" s="335">
        <v>58</v>
      </c>
    </row>
    <row r="102" spans="1:6">
      <c r="A102" s="1295" t="s">
        <v>76</v>
      </c>
      <c r="B102" s="335">
        <v>47</v>
      </c>
    </row>
    <row r="103" spans="1:6">
      <c r="A103" s="1295" t="s">
        <v>77</v>
      </c>
      <c r="B103" s="335">
        <v>96</v>
      </c>
    </row>
    <row r="104" spans="1:6">
      <c r="A104" s="1295" t="s">
        <v>78</v>
      </c>
      <c r="B104" s="335">
        <v>2219</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7</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71</v>
      </c>
    </row>
    <row r="130" spans="1:6">
      <c r="A130" s="1295" t="s">
        <v>295</v>
      </c>
      <c r="B130" s="335">
        <v>3</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35225.106327053116</v>
      </c>
      <c r="C3" s="43" t="s">
        <v>170</v>
      </c>
      <c r="D3" s="43"/>
      <c r="E3" s="156"/>
      <c r="F3" s="43"/>
      <c r="G3" s="43"/>
      <c r="H3" s="43"/>
      <c r="I3" s="43"/>
      <c r="J3" s="43"/>
      <c r="K3" s="96"/>
    </row>
    <row r="4" spans="1:11">
      <c r="A4" s="366" t="s">
        <v>171</v>
      </c>
      <c r="B4" s="49">
        <f>IF(ISERROR('SEAP template'!B78+'SEAP template'!C78),0,'SEAP template'!B78+'SEAP template'!C78)</f>
        <v>6748.7611299999999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0.17865871660167182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712.39599999999996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712.39599999999996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0.17865871660167182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127.27575507216459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16654.7542522283</v>
      </c>
      <c r="C5" s="17">
        <f>IF(ISERROR('Eigen informatie GS &amp; warmtenet'!B57),0,'Eigen informatie GS &amp; warmtenet'!B57)</f>
        <v>0</v>
      </c>
      <c r="D5" s="30">
        <f>(SUM(HH_hh_gas_kWh,HH_rest_gas_kWh)/1000)*0.902</f>
        <v>27791.680908300186</v>
      </c>
      <c r="E5" s="17">
        <f>B46*B57</f>
        <v>4254.8795277194176</v>
      </c>
      <c r="F5" s="17">
        <f>B51*B62</f>
        <v>36471.26603204148</v>
      </c>
      <c r="G5" s="18"/>
      <c r="H5" s="17"/>
      <c r="I5" s="17"/>
      <c r="J5" s="17">
        <f>B50*B61+C50*C61</f>
        <v>394.62582312517668</v>
      </c>
      <c r="K5" s="17"/>
      <c r="L5" s="17"/>
      <c r="M5" s="17"/>
      <c r="N5" s="17">
        <f>B48*B59+C48*C59</f>
        <v>9842.2509699364109</v>
      </c>
      <c r="O5" s="17">
        <f>B69*B70*B71</f>
        <v>126.63</v>
      </c>
      <c r="P5" s="17">
        <f>B77*B78*B79/1000-B77*B78*B79/1000/B80</f>
        <v>286</v>
      </c>
    </row>
    <row r="6" spans="1:16">
      <c r="A6" s="16" t="s">
        <v>634</v>
      </c>
      <c r="B6" s="783">
        <f>kWh_PV_kleiner_dan_10kW</f>
        <v>1742.35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18397.104252228299</v>
      </c>
      <c r="C8" s="21">
        <f>C5</f>
        <v>0</v>
      </c>
      <c r="D8" s="21">
        <f>D5</f>
        <v>27791.680908300186</v>
      </c>
      <c r="E8" s="21">
        <f>E5</f>
        <v>4254.8795277194176</v>
      </c>
      <c r="F8" s="21">
        <f>F5</f>
        <v>36471.26603204148</v>
      </c>
      <c r="G8" s="21"/>
      <c r="H8" s="21"/>
      <c r="I8" s="21"/>
      <c r="J8" s="21">
        <f>J5</f>
        <v>394.62582312517668</v>
      </c>
      <c r="K8" s="21"/>
      <c r="L8" s="21">
        <f>L5</f>
        <v>0</v>
      </c>
      <c r="M8" s="21">
        <f>M5</f>
        <v>0</v>
      </c>
      <c r="N8" s="21">
        <f>N5</f>
        <v>9842.2509699364109</v>
      </c>
      <c r="O8" s="21">
        <f>O5</f>
        <v>126.63</v>
      </c>
      <c r="P8" s="21">
        <f>P5</f>
        <v>286</v>
      </c>
    </row>
    <row r="9" spans="1:16">
      <c r="B9" s="19"/>
      <c r="C9" s="19"/>
      <c r="D9" s="261"/>
      <c r="E9" s="19"/>
      <c r="F9" s="19"/>
      <c r="G9" s="19"/>
      <c r="H9" s="19"/>
      <c r="I9" s="19"/>
      <c r="J9" s="19"/>
      <c r="K9" s="19"/>
      <c r="L9" s="19"/>
      <c r="M9" s="19"/>
      <c r="N9" s="19"/>
      <c r="O9" s="19"/>
      <c r="P9" s="19"/>
    </row>
    <row r="10" spans="1:16">
      <c r="A10" s="24" t="s">
        <v>214</v>
      </c>
      <c r="B10" s="25">
        <f ca="1">'EF ele_warmte'!B12</f>
        <v>0.17865871660167182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3286.8030348902671</v>
      </c>
      <c r="C12" s="23">
        <f ca="1">C10*C8</f>
        <v>0</v>
      </c>
      <c r="D12" s="23">
        <f>D8*D10</f>
        <v>5613.919543476638</v>
      </c>
      <c r="E12" s="23">
        <f>E10*E8</f>
        <v>965.85765279230782</v>
      </c>
      <c r="F12" s="23">
        <f>F10*F8</f>
        <v>9737.8280305550761</v>
      </c>
      <c r="G12" s="23"/>
      <c r="H12" s="23"/>
      <c r="I12" s="23"/>
      <c r="J12" s="23">
        <f>J10*J8</f>
        <v>139.69754138631254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519</v>
      </c>
      <c r="C18" s="168" t="s">
        <v>111</v>
      </c>
      <c r="D18" s="230"/>
      <c r="E18" s="15"/>
    </row>
    <row r="19" spans="1:7">
      <c r="A19" s="173" t="s">
        <v>72</v>
      </c>
      <c r="B19" s="37">
        <f>aantalw2001_ander</f>
        <v>1</v>
      </c>
      <c r="C19" s="168" t="s">
        <v>111</v>
      </c>
      <c r="D19" s="231"/>
      <c r="E19" s="15"/>
    </row>
    <row r="20" spans="1:7">
      <c r="A20" s="173" t="s">
        <v>73</v>
      </c>
      <c r="B20" s="37">
        <f>aantalw2001_propaan</f>
        <v>94</v>
      </c>
      <c r="C20" s="169">
        <f>IF(ISERROR(B20/SUM($B$20,$B$21,$B$22)*100),0,B20/SUM($B$20,$B$21,$B$22)*100)</f>
        <v>22.488038277511961</v>
      </c>
      <c r="D20" s="231"/>
      <c r="E20" s="15"/>
    </row>
    <row r="21" spans="1:7">
      <c r="A21" s="173" t="s">
        <v>74</v>
      </c>
      <c r="B21" s="37">
        <f>aantalw2001_elektriciteit</f>
        <v>266</v>
      </c>
      <c r="C21" s="169">
        <f>IF(ISERROR(B21/SUM($B$20,$B$21,$B$22)*100),0,B21/SUM($B$20,$B$21,$B$22)*100)</f>
        <v>63.636363636363633</v>
      </c>
      <c r="D21" s="231"/>
      <c r="E21" s="15"/>
    </row>
    <row r="22" spans="1:7">
      <c r="A22" s="173" t="s">
        <v>75</v>
      </c>
      <c r="B22" s="37">
        <f>aantalw2001_hout</f>
        <v>58</v>
      </c>
      <c r="C22" s="169">
        <f>IF(ISERROR(B22/SUM($B$20,$B$21,$B$22)*100),0,B22/SUM($B$20,$B$21,$B$22)*100)</f>
        <v>13.875598086124402</v>
      </c>
      <c r="D22" s="231"/>
      <c r="E22" s="15"/>
    </row>
    <row r="23" spans="1:7">
      <c r="A23" s="173" t="s">
        <v>76</v>
      </c>
      <c r="B23" s="37">
        <f>aantalw2001_niet_gespec</f>
        <v>47</v>
      </c>
      <c r="C23" s="168" t="s">
        <v>111</v>
      </c>
      <c r="D23" s="230"/>
      <c r="E23" s="15"/>
    </row>
    <row r="24" spans="1:7">
      <c r="A24" s="173" t="s">
        <v>77</v>
      </c>
      <c r="B24" s="37">
        <f>aantalw2001_steenkool</f>
        <v>96</v>
      </c>
      <c r="C24" s="168" t="s">
        <v>111</v>
      </c>
      <c r="D24" s="231"/>
      <c r="E24" s="15"/>
    </row>
    <row r="25" spans="1:7">
      <c r="A25" s="173" t="s">
        <v>78</v>
      </c>
      <c r="B25" s="37">
        <f>aantalw2001_stookolie</f>
        <v>2219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3757</v>
      </c>
      <c r="C28" s="36"/>
      <c r="D28" s="230"/>
    </row>
    <row r="29" spans="1:7" s="15" customFormat="1">
      <c r="A29" s="232" t="s">
        <v>746</v>
      </c>
      <c r="B29" s="37">
        <f>SUM(HH_hh_gas_aantal,HH_rest_gas_aantal)</f>
        <v>1382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1382</v>
      </c>
      <c r="C32" s="169">
        <f>IF(ISERROR(B32/SUM($B$32,$B$34,$B$35,$B$36,$B$38,$B$39)*100),0,B32/SUM($B$32,$B$34,$B$35,$B$36,$B$38,$B$39)*100)</f>
        <v>36.932121859967928</v>
      </c>
      <c r="D32" s="235"/>
      <c r="G32" s="15"/>
    </row>
    <row r="33" spans="1:7">
      <c r="A33" s="173" t="s">
        <v>72</v>
      </c>
      <c r="B33" s="34" t="s">
        <v>111</v>
      </c>
      <c r="C33" s="169"/>
      <c r="D33" s="235"/>
      <c r="G33" s="15"/>
    </row>
    <row r="34" spans="1:7">
      <c r="A34" s="173" t="s">
        <v>73</v>
      </c>
      <c r="B34" s="33">
        <f>IF((($B$28-$B$32-$B$39-$B$77-$B$38)*C20/100)&lt;0,0,($B$28-$B$32-$B$39-$B$77-$B$38)*C20/100)</f>
        <v>204.19138755980862</v>
      </c>
      <c r="C34" s="169">
        <f>IF(ISERROR(B34/SUM($B$32,$B$34,$B$35,$B$36,$B$38,$B$39)*100),0,B34/SUM($B$32,$B$34,$B$35,$B$36,$B$38,$B$39)*100)</f>
        <v>5.4567447236720632</v>
      </c>
      <c r="D34" s="235"/>
      <c r="G34" s="15"/>
    </row>
    <row r="35" spans="1:7">
      <c r="A35" s="173" t="s">
        <v>74</v>
      </c>
      <c r="B35" s="33">
        <f>IF((($B$28-$B$32-$B$39-$B$77-$B$38)*C21/100)&lt;0,0,($B$28-$B$32-$B$39-$B$77-$B$38)*C21/100)</f>
        <v>577.81818181818176</v>
      </c>
      <c r="C35" s="169">
        <f>IF(ISERROR(B35/SUM($B$32,$B$34,$B$35,$B$36,$B$38,$B$39)*100),0,B35/SUM($B$32,$B$34,$B$35,$B$36,$B$38,$B$39)*100)</f>
        <v>15.441426558476262</v>
      </c>
      <c r="D35" s="235"/>
      <c r="G35" s="15"/>
    </row>
    <row r="36" spans="1:7">
      <c r="A36" s="173" t="s">
        <v>75</v>
      </c>
      <c r="B36" s="33">
        <f>IF((($B$28-$B$32-$B$39-$B$77-$B$38)*C22/100)&lt;0,0,($B$28-$B$32-$B$39-$B$77-$B$38)*C22/100)</f>
        <v>125.99043062200957</v>
      </c>
      <c r="C36" s="169">
        <f>IF(ISERROR(B36/SUM($B$32,$B$34,$B$35,$B$36,$B$38,$B$39)*100),0,B36/SUM($B$32,$B$34,$B$35,$B$36,$B$38,$B$39)*100)</f>
        <v>3.3669275954572306</v>
      </c>
      <c r="D36" s="235"/>
      <c r="G36" s="15"/>
    </row>
    <row r="37" spans="1:7">
      <c r="A37" s="173" t="s">
        <v>76</v>
      </c>
      <c r="B37" s="34" t="s">
        <v>111</v>
      </c>
      <c r="C37" s="169"/>
      <c r="D37" s="175"/>
      <c r="G37" s="15"/>
    </row>
    <row r="38" spans="1:7">
      <c r="A38" s="173" t="s">
        <v>77</v>
      </c>
      <c r="B38" s="33">
        <f>IF((B24-(B29-B18)*0.1)&lt;0,0,B24-(B29-B18)*0.1)</f>
        <v>9.6999999999999886</v>
      </c>
      <c r="C38" s="169">
        <f>IF(ISERROR(B38/SUM($B$32,$B$34,$B$35,$B$36,$B$38,$B$39)*100),0,B38/SUM($B$32,$B$34,$B$35,$B$36,$B$38,$B$39)*100)</f>
        <v>0.25921966862640267</v>
      </c>
      <c r="D38" s="236"/>
      <c r="G38" s="15"/>
    </row>
    <row r="39" spans="1:7">
      <c r="A39" s="173" t="s">
        <v>78</v>
      </c>
      <c r="B39" s="33">
        <f>IF((B25-(B29-B18))&lt;0,0,B25-(B29-B18)*0.9)</f>
        <v>1442.3</v>
      </c>
      <c r="C39" s="169">
        <f>IF(ISERROR(B39/SUM($B$32,$B$34,$B$35,$B$36,$B$38,$B$39)*100),0,B39/SUM($B$32,$B$34,$B$35,$B$36,$B$38,$B$39)*100)</f>
        <v>38.543559593800104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1382</v>
      </c>
      <c r="C44" s="34" t="s">
        <v>111</v>
      </c>
      <c r="D44" s="176"/>
    </row>
    <row r="45" spans="1:7">
      <c r="A45" s="173" t="s">
        <v>72</v>
      </c>
      <c r="B45" s="33" t="str">
        <f t="shared" si="0"/>
        <v>-</v>
      </c>
      <c r="C45" s="34" t="s">
        <v>111</v>
      </c>
      <c r="D45" s="176"/>
    </row>
    <row r="46" spans="1:7">
      <c r="A46" s="173" t="s">
        <v>73</v>
      </c>
      <c r="B46" s="33">
        <f t="shared" si="0"/>
        <v>204.19138755980862</v>
      </c>
      <c r="C46" s="34" t="s">
        <v>111</v>
      </c>
      <c r="D46" s="176"/>
    </row>
    <row r="47" spans="1:7">
      <c r="A47" s="173" t="s">
        <v>74</v>
      </c>
      <c r="B47" s="33">
        <f t="shared" si="0"/>
        <v>577.81818181818176</v>
      </c>
      <c r="C47" s="34" t="s">
        <v>111</v>
      </c>
      <c r="D47" s="176"/>
    </row>
    <row r="48" spans="1:7">
      <c r="A48" s="173" t="s">
        <v>75</v>
      </c>
      <c r="B48" s="33">
        <f t="shared" si="0"/>
        <v>125.99043062200957</v>
      </c>
      <c r="C48" s="33">
        <f>B48*10</f>
        <v>1259.9043062200958</v>
      </c>
      <c r="D48" s="236"/>
    </row>
    <row r="49" spans="1:6">
      <c r="A49" s="173" t="s">
        <v>76</v>
      </c>
      <c r="B49" s="33" t="str">
        <f t="shared" si="0"/>
        <v>-</v>
      </c>
      <c r="C49" s="34" t="s">
        <v>111</v>
      </c>
      <c r="D49" s="236"/>
    </row>
    <row r="50" spans="1:6">
      <c r="A50" s="173" t="s">
        <v>77</v>
      </c>
      <c r="B50" s="33">
        <f t="shared" si="0"/>
        <v>9.6999999999999886</v>
      </c>
      <c r="C50" s="33">
        <f>B50*2</f>
        <v>19.399999999999977</v>
      </c>
      <c r="D50" s="236"/>
    </row>
    <row r="51" spans="1:6">
      <c r="A51" s="173" t="s">
        <v>78</v>
      </c>
      <c r="B51" s="33">
        <f t="shared" si="0"/>
        <v>1442.3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8916.6227462387615</v>
      </c>
      <c r="C5" s="17">
        <f>IF(ISERROR('Eigen informatie GS &amp; warmtenet'!B58),0,'Eigen informatie GS &amp; warmtenet'!B58)</f>
        <v>0</v>
      </c>
      <c r="D5" s="30">
        <f>SUM(D6:D12)</f>
        <v>8680.9677697786829</v>
      </c>
      <c r="E5" s="17">
        <f>SUM(E6:E12)</f>
        <v>81.45860503055556</v>
      </c>
      <c r="F5" s="17">
        <f>SUM(F6:F12)</f>
        <v>2139.3636792087727</v>
      </c>
      <c r="G5" s="18"/>
      <c r="H5" s="17"/>
      <c r="I5" s="17"/>
      <c r="J5" s="17">
        <f>SUM(J6:J12)</f>
        <v>0</v>
      </c>
      <c r="K5" s="17"/>
      <c r="L5" s="17"/>
      <c r="M5" s="17"/>
      <c r="N5" s="17">
        <f>SUM(N6:N12)</f>
        <v>2601.6054890303408</v>
      </c>
      <c r="O5" s="17">
        <f>B38*B39*B40</f>
        <v>4.6900000000000004</v>
      </c>
      <c r="P5" s="17">
        <f>B46*B47*B48/1000-B46*B47*B48/1000/B49</f>
        <v>19.066666666666666</v>
      </c>
      <c r="R5" s="32"/>
    </row>
    <row r="6" spans="1:18">
      <c r="A6" s="32" t="s">
        <v>54</v>
      </c>
      <c r="B6" s="37">
        <f>B26</f>
        <v>1406.5359019503701</v>
      </c>
      <c r="C6" s="33"/>
      <c r="D6" s="37">
        <f>IF(ISERROR(TER_kantoor_gas_kWh/1000),0,TER_kantoor_gas_kWh/1000)*0.902</f>
        <v>3416.8600893562248</v>
      </c>
      <c r="E6" s="33">
        <f>$C$26*'E Balans VL '!I12/100/3.6*1000000</f>
        <v>5.4646897600777935</v>
      </c>
      <c r="F6" s="33">
        <f>$C$26*('E Balans VL '!L12+'E Balans VL '!N12)/100/3.6*1000000</f>
        <v>213.92131223032504</v>
      </c>
      <c r="G6" s="34"/>
      <c r="H6" s="33"/>
      <c r="I6" s="33"/>
      <c r="J6" s="33">
        <f>$C$26*('E Balans VL '!D12+'E Balans VL '!E12)/100/3.6*1000000</f>
        <v>0</v>
      </c>
      <c r="K6" s="33"/>
      <c r="L6" s="33"/>
      <c r="M6" s="33"/>
      <c r="N6" s="33">
        <f>$C$26*'E Balans VL '!Y12/100/3.6*1000000</f>
        <v>0.77516978082609611</v>
      </c>
      <c r="O6" s="33"/>
      <c r="P6" s="33"/>
      <c r="R6" s="32"/>
    </row>
    <row r="7" spans="1:18">
      <c r="A7" s="32" t="s">
        <v>53</v>
      </c>
      <c r="B7" s="37">
        <f t="shared" ref="B7:B12" si="0">B27</f>
        <v>330.31370939620604</v>
      </c>
      <c r="C7" s="33"/>
      <c r="D7" s="37">
        <f>IF(ISERROR(TER_horeca_gas_kWh/1000),0,TER_horeca_gas_kWh/1000)*0.902</f>
        <v>462.01841435095929</v>
      </c>
      <c r="E7" s="33">
        <f>$C$27*'E Balans VL '!I9/100/3.6*1000000</f>
        <v>18.606659561542546</v>
      </c>
      <c r="F7" s="33">
        <f>$C$27*('E Balans VL '!L9+'E Balans VL '!N9)/100/3.6*1000000</f>
        <v>95.242698311780813</v>
      </c>
      <c r="G7" s="34"/>
      <c r="H7" s="33"/>
      <c r="I7" s="33"/>
      <c r="J7" s="33">
        <f>$C$27*('E Balans VL '!D9+'E Balans VL '!E9)/100/3.6*1000000</f>
        <v>0</v>
      </c>
      <c r="K7" s="33"/>
      <c r="L7" s="33"/>
      <c r="M7" s="33"/>
      <c r="N7" s="33">
        <f>$C$27*'E Balans VL '!Y9/100/3.6*1000000</f>
        <v>9.1197898692760918E-2</v>
      </c>
      <c r="O7" s="33"/>
      <c r="P7" s="33"/>
      <c r="R7" s="32"/>
    </row>
    <row r="8" spans="1:18">
      <c r="A8" s="6" t="s">
        <v>52</v>
      </c>
      <c r="B8" s="37">
        <f t="shared" si="0"/>
        <v>1437.0790865266902</v>
      </c>
      <c r="C8" s="33"/>
      <c r="D8" s="37">
        <f>IF(ISERROR(TER_handel_gas_kWh/1000),0,TER_handel_gas_kWh/1000)*0.902</f>
        <v>324.24291890584323</v>
      </c>
      <c r="E8" s="33">
        <f>$C$28*'E Balans VL '!I13/100/3.6*1000000</f>
        <v>20.713185161194112</v>
      </c>
      <c r="F8" s="33">
        <f>$C$28*('E Balans VL '!L13+'E Balans VL '!N13)/100/3.6*1000000</f>
        <v>249.65410464327542</v>
      </c>
      <c r="G8" s="34"/>
      <c r="H8" s="33"/>
      <c r="I8" s="33"/>
      <c r="J8" s="33">
        <f>$C$28*('E Balans VL '!D13+'E Balans VL '!E13)/100/3.6*1000000</f>
        <v>0</v>
      </c>
      <c r="K8" s="33"/>
      <c r="L8" s="33"/>
      <c r="M8" s="33"/>
      <c r="N8" s="33">
        <f>$C$28*'E Balans VL '!Y13/100/3.6*1000000</f>
        <v>4.3056489221734671</v>
      </c>
      <c r="O8" s="33"/>
      <c r="P8" s="33"/>
      <c r="R8" s="32"/>
    </row>
    <row r="9" spans="1:18">
      <c r="A9" s="32" t="s">
        <v>51</v>
      </c>
      <c r="B9" s="37">
        <f t="shared" si="0"/>
        <v>15.914474158325801</v>
      </c>
      <c r="C9" s="33"/>
      <c r="D9" s="37">
        <f>IF(ISERROR(TER_gezond_gas_kWh/1000),0,TER_gezond_gas_kWh/1000)*0.902</f>
        <v>98.772985225317171</v>
      </c>
      <c r="E9" s="33">
        <f>$C$29*'E Balans VL '!I10/100/3.6*1000000</f>
        <v>1.7000783281312364E-2</v>
      </c>
      <c r="F9" s="33">
        <f>$C$29*('E Balans VL '!L10+'E Balans VL '!N10)/100/3.6*1000000</f>
        <v>2.5961343942420294</v>
      </c>
      <c r="G9" s="34"/>
      <c r="H9" s="33"/>
      <c r="I9" s="33"/>
      <c r="J9" s="33">
        <f>$C$29*('E Balans VL '!D10+'E Balans VL '!E10)/100/3.6*1000000</f>
        <v>0</v>
      </c>
      <c r="K9" s="33"/>
      <c r="L9" s="33"/>
      <c r="M9" s="33"/>
      <c r="N9" s="33">
        <f>$C$29*'E Balans VL '!Y10/100/3.6*1000000</f>
        <v>0.16383043084217047</v>
      </c>
      <c r="O9" s="33"/>
      <c r="P9" s="33"/>
      <c r="R9" s="32"/>
    </row>
    <row r="10" spans="1:18">
      <c r="A10" s="32" t="s">
        <v>50</v>
      </c>
      <c r="B10" s="37">
        <f t="shared" si="0"/>
        <v>3543.2407014329096</v>
      </c>
      <c r="C10" s="33"/>
      <c r="D10" s="37">
        <f>IF(ISERROR(TER_ander_gas_kWh/1000),0,TER_ander_gas_kWh/1000)*0.902</f>
        <v>440.31256360260687</v>
      </c>
      <c r="E10" s="33">
        <f>$C$30*'E Balans VL '!I14/100/3.6*1000000</f>
        <v>16.294825018969789</v>
      </c>
      <c r="F10" s="33">
        <f>$C$30*('E Balans VL '!L14+'E Balans VL '!N14)/100/3.6*1000000</f>
        <v>1062.0210020763111</v>
      </c>
      <c r="G10" s="34"/>
      <c r="H10" s="33"/>
      <c r="I10" s="33"/>
      <c r="J10" s="33">
        <f>$C$30*('E Balans VL '!D14+'E Balans VL '!E14)/100/3.6*1000000</f>
        <v>0</v>
      </c>
      <c r="K10" s="33"/>
      <c r="L10" s="33"/>
      <c r="M10" s="33"/>
      <c r="N10" s="33">
        <f>$C$30*'E Balans VL '!Y14/100/3.6*1000000</f>
        <v>2466.3294202396446</v>
      </c>
      <c r="O10" s="33"/>
      <c r="P10" s="33"/>
      <c r="R10" s="32"/>
    </row>
    <row r="11" spans="1:18">
      <c r="A11" s="32" t="s">
        <v>55</v>
      </c>
      <c r="B11" s="37">
        <f t="shared" si="0"/>
        <v>546.60476417480004</v>
      </c>
      <c r="C11" s="33"/>
      <c r="D11" s="37">
        <f>IF(ISERROR(TER_onderwijs_gas_kWh/1000),0,TER_onderwijs_gas_kWh/1000)*0.902</f>
        <v>0</v>
      </c>
      <c r="E11" s="33">
        <f>$C$31*'E Balans VL '!I11/100/3.6*1000000</f>
        <v>0.50704780209683475</v>
      </c>
      <c r="F11" s="33">
        <f>$C$31*('E Balans VL '!L11+'E Balans VL '!N11)/100/3.6*1000000</f>
        <v>192.00969084732091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1636.9341085994599</v>
      </c>
      <c r="C12" s="33"/>
      <c r="D12" s="37">
        <f>IF(ISERROR(TER_rest_gas_kWh/1000),0,TER_rest_gas_kWh/1000)*0.902</f>
        <v>3938.7607983377316</v>
      </c>
      <c r="E12" s="33">
        <f>$C$32*'E Balans VL '!I8/100/3.6*1000000</f>
        <v>19.855196943393175</v>
      </c>
      <c r="F12" s="33">
        <f>$C$32*('E Balans VL '!L8+'E Balans VL '!N8)/100/3.6*1000000</f>
        <v>323.91873670551735</v>
      </c>
      <c r="G12" s="34"/>
      <c r="H12" s="33"/>
      <c r="I12" s="33"/>
      <c r="J12" s="33">
        <f>$C$32*('E Balans VL '!D8+'E Balans VL '!E8)/100/3.6*1000000</f>
        <v>0</v>
      </c>
      <c r="K12" s="33"/>
      <c r="L12" s="33"/>
      <c r="M12" s="33"/>
      <c r="N12" s="33">
        <f>$C$32*'E Balans VL '!Y8/100/3.6*1000000</f>
        <v>129.94022175816195</v>
      </c>
      <c r="O12" s="33"/>
      <c r="P12" s="33"/>
      <c r="R12" s="32"/>
    </row>
    <row r="13" spans="1:18">
      <c r="A13" s="16" t="s">
        <v>497</v>
      </c>
      <c r="B13" s="249">
        <f ca="1">'lokale energieproductie'!N91+'lokale energieproductie'!N60</f>
        <v>4918.5</v>
      </c>
      <c r="C13" s="249">
        <f ca="1">'lokale energieproductie'!O91+'lokale energieproductie'!O60</f>
        <v>60.75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-135</v>
      </c>
      <c r="M13" s="250"/>
      <c r="N13" s="312">
        <f ca="1">('lokale energieproductie'!Q60+'lokale energieproductie'!R60+'lokale energieproductie'!V60+'lokale energieproductie'!Q91+'lokale energieproductie'!R91+'lokale energieproductie'!V91)*(-1)</f>
        <v>-13898.571428571429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13835.122746238761</v>
      </c>
      <c r="C16" s="21">
        <f t="shared" ca="1" si="1"/>
        <v>60.75</v>
      </c>
      <c r="D16" s="21">
        <f t="shared" ca="1" si="1"/>
        <v>8680.9677697786829</v>
      </c>
      <c r="E16" s="21">
        <f t="shared" si="1"/>
        <v>81.45860503055556</v>
      </c>
      <c r="F16" s="21">
        <f t="shared" ca="1" si="1"/>
        <v>2139.3636792087727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0.17865871660167182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2471.7652738696142</v>
      </c>
      <c r="C20" s="23">
        <f t="shared" ref="C20:P20" ca="1" si="2">C16*C18</f>
        <v>0</v>
      </c>
      <c r="D20" s="23">
        <f t="shared" ca="1" si="2"/>
        <v>1753.5554894952941</v>
      </c>
      <c r="E20" s="23">
        <f t="shared" si="2"/>
        <v>18.491103341936114</v>
      </c>
      <c r="F20" s="23">
        <f t="shared" ca="1" si="2"/>
        <v>571.21010234874234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1406.5359019503701</v>
      </c>
      <c r="C26" s="39">
        <f>IF(ISERROR(B26*3.6/1000000/'E Balans VL '!Z12*100),0,B26*3.6/1000000/'E Balans VL '!Z12*100)</f>
        <v>2.9875519264740975E-2</v>
      </c>
      <c r="D26" s="239" t="s">
        <v>692</v>
      </c>
      <c r="F26" s="6"/>
    </row>
    <row r="27" spans="1:18">
      <c r="A27" s="233" t="s">
        <v>53</v>
      </c>
      <c r="B27" s="33">
        <f>IF(ISERROR(TER_horeca_ele_kWh/1000),0,TER_horeca_ele_kWh/1000)</f>
        <v>330.31370939620604</v>
      </c>
      <c r="C27" s="39">
        <f>IF(ISERROR(B27*3.6/1000000/'E Balans VL '!Z9*100),0,B27*3.6/1000000/'E Balans VL '!Z9*100)</f>
        <v>2.5683902541907409E-2</v>
      </c>
      <c r="D27" s="239" t="s">
        <v>692</v>
      </c>
      <c r="F27" s="6"/>
    </row>
    <row r="28" spans="1:18">
      <c r="A28" s="173" t="s">
        <v>52</v>
      </c>
      <c r="B28" s="33">
        <f>IF(ISERROR(TER_handel_ele_kWh/1000),0,TER_handel_ele_kWh/1000)</f>
        <v>1437.0790865266902</v>
      </c>
      <c r="C28" s="39">
        <f>IF(ISERROR(B28*3.6/1000000/'E Balans VL '!Z13*100),0,B28*3.6/1000000/'E Balans VL '!Z13*100)</f>
        <v>4.1116523938426831E-2</v>
      </c>
      <c r="D28" s="239" t="s">
        <v>692</v>
      </c>
      <c r="F28" s="6"/>
    </row>
    <row r="29" spans="1:18">
      <c r="A29" s="233" t="s">
        <v>51</v>
      </c>
      <c r="B29" s="33">
        <f>IF(ISERROR(TER_gezond_ele_kWh/1000),0,TER_gezond_ele_kWh/1000)</f>
        <v>15.914474158325801</v>
      </c>
      <c r="C29" s="39">
        <f>IF(ISERROR(B29*3.6/1000000/'E Balans VL '!Z10*100),0,B29*3.6/1000000/'E Balans VL '!Z10*100)</f>
        <v>1.7350474912851996E-3</v>
      </c>
      <c r="D29" s="239" t="s">
        <v>692</v>
      </c>
      <c r="F29" s="6"/>
    </row>
    <row r="30" spans="1:18">
      <c r="A30" s="233" t="s">
        <v>50</v>
      </c>
      <c r="B30" s="33">
        <f>IF(ISERROR(TER_ander_ele_kWh/1000),0,TER_ander_ele_kWh/1000)</f>
        <v>3543.2407014329096</v>
      </c>
      <c r="C30" s="39">
        <f>IF(ISERROR(B30*3.6/1000000/'E Balans VL '!Z14*100),0,B30*3.6/1000000/'E Balans VL '!Z14*100)</f>
        <v>0.2592863168798652</v>
      </c>
      <c r="D30" s="239" t="s">
        <v>692</v>
      </c>
      <c r="F30" s="6"/>
    </row>
    <row r="31" spans="1:18">
      <c r="A31" s="233" t="s">
        <v>55</v>
      </c>
      <c r="B31" s="33">
        <f>IF(ISERROR(TER_onderwijs_ele_kWh/1000),0,TER_onderwijs_ele_kWh/1000)</f>
        <v>546.60476417480004</v>
      </c>
      <c r="C31" s="39">
        <f>IF(ISERROR(B31*3.6/1000000/'E Balans VL '!Z11*100),0,B31*3.6/1000000/'E Balans VL '!Z11*100)</f>
        <v>0.10978597278201387</v>
      </c>
      <c r="D31" s="239" t="s">
        <v>692</v>
      </c>
    </row>
    <row r="32" spans="1:18">
      <c r="A32" s="233" t="s">
        <v>260</v>
      </c>
      <c r="B32" s="33">
        <f>IF(ISERROR(TER_rest_ele_kWh/1000),0,TER_rest_ele_kWh/1000)</f>
        <v>1636.9341085994599</v>
      </c>
      <c r="C32" s="39">
        <f>IF(ISERROR(B32*3.6/1000000/'E Balans VL '!Z8*100),0,B32*3.6/1000000/'E Balans VL '!Z8*100)</f>
        <v>1.3340019580249189E-2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1170.863606700317</v>
      </c>
      <c r="C5" s="17">
        <f>IF(ISERROR('Eigen informatie GS &amp; warmtenet'!B59),0,'Eigen informatie GS &amp; warmtenet'!B59)</f>
        <v>0</v>
      </c>
      <c r="D5" s="30">
        <f>SUM(D6:D15)</f>
        <v>628.53575508186168</v>
      </c>
      <c r="E5" s="17">
        <f>SUM(E6:E15)</f>
        <v>175.09872822138519</v>
      </c>
      <c r="F5" s="17">
        <f>SUM(F6:F15)</f>
        <v>688.01443592969042</v>
      </c>
      <c r="G5" s="18"/>
      <c r="H5" s="17"/>
      <c r="I5" s="17"/>
      <c r="J5" s="17">
        <f>SUM(J6:J15)</f>
        <v>1.2700382920600206</v>
      </c>
      <c r="K5" s="17"/>
      <c r="L5" s="17"/>
      <c r="M5" s="17"/>
      <c r="N5" s="17">
        <f>SUM(N6:N15)</f>
        <v>305.78684054779819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22.956</v>
      </c>
      <c r="C8" s="33"/>
      <c r="D8" s="37">
        <f>IF( ISERROR(IND_metaal_Gas_kWH/1000),0,IND_metaal_Gas_kWH/1000)*0.902</f>
        <v>0</v>
      </c>
      <c r="E8" s="33">
        <f>C30*'E Balans VL '!I18/100/3.6*1000000</f>
        <v>0.65938248625324847</v>
      </c>
      <c r="F8" s="33">
        <f>C30*'E Balans VL '!L18/100/3.6*1000000+C30*'E Balans VL '!N18/100/3.6*1000000</f>
        <v>5.8877724926704147</v>
      </c>
      <c r="G8" s="34"/>
      <c r="H8" s="33"/>
      <c r="I8" s="33"/>
      <c r="J8" s="40">
        <f>C30*'E Balans VL '!D18/100/3.6*1000000+C30*'E Balans VL '!E18/100/3.6*1000000</f>
        <v>0</v>
      </c>
      <c r="K8" s="33"/>
      <c r="L8" s="33"/>
      <c r="M8" s="33"/>
      <c r="N8" s="33">
        <f>C30*'E Balans VL '!Y18/100/3.6*1000000</f>
        <v>0.62330225983499477</v>
      </c>
      <c r="O8" s="33"/>
      <c r="P8" s="33"/>
      <c r="R8" s="32"/>
    </row>
    <row r="9" spans="1:18">
      <c r="A9" s="6" t="s">
        <v>33</v>
      </c>
      <c r="B9" s="37">
        <f t="shared" si="0"/>
        <v>494.75032650458996</v>
      </c>
      <c r="C9" s="33"/>
      <c r="D9" s="37">
        <f>IF( ISERROR(IND_andere_gas_kWh/1000),0,IND_andere_gas_kWh/1000)*0.902</f>
        <v>0</v>
      </c>
      <c r="E9" s="33">
        <f>C31*'E Balans VL '!I19/100/3.6*1000000</f>
        <v>133.91674893850418</v>
      </c>
      <c r="F9" s="33">
        <f>C31*'E Balans VL '!L19/100/3.6*1000000+C31*'E Balans VL '!N19/100/3.6*1000000</f>
        <v>329.55607297315896</v>
      </c>
      <c r="G9" s="34"/>
      <c r="H9" s="33"/>
      <c r="I9" s="33"/>
      <c r="J9" s="40">
        <f>C31*'E Balans VL '!D19/100/3.6*1000000+C31*'E Balans VL '!E19/100/3.6*1000000</f>
        <v>0</v>
      </c>
      <c r="K9" s="33"/>
      <c r="L9" s="33"/>
      <c r="M9" s="33"/>
      <c r="N9" s="33">
        <f>C31*'E Balans VL '!Y19/100/3.6*1000000</f>
        <v>161.52776309723077</v>
      </c>
      <c r="O9" s="33"/>
      <c r="P9" s="33"/>
      <c r="R9" s="32"/>
    </row>
    <row r="10" spans="1:18">
      <c r="A10" s="6" t="s">
        <v>41</v>
      </c>
      <c r="B10" s="37">
        <f t="shared" si="0"/>
        <v>158.45928629990502</v>
      </c>
      <c r="C10" s="33"/>
      <c r="D10" s="37">
        <f>IF( ISERROR(IND_voed_gas_kWh/1000),0,IND_voed_gas_kWh/1000)*0.902</f>
        <v>360.71799728040514</v>
      </c>
      <c r="E10" s="33">
        <f>C32*'E Balans VL '!I20/100/3.6*1000000</f>
        <v>12.924303441357431</v>
      </c>
      <c r="F10" s="33">
        <f>C32*'E Balans VL '!L20/100/3.6*1000000+C32*'E Balans VL '!N20/100/3.6*1000000</f>
        <v>236.27717255931526</v>
      </c>
      <c r="G10" s="34"/>
      <c r="H10" s="33"/>
      <c r="I10" s="33"/>
      <c r="J10" s="40">
        <f>C32*'E Balans VL '!D20/100/3.6*1000000+C32*'E Balans VL '!E20/100/3.6*1000000</f>
        <v>2.096224013977209E-3</v>
      </c>
      <c r="K10" s="33"/>
      <c r="L10" s="33"/>
      <c r="M10" s="33"/>
      <c r="N10" s="33">
        <f>C32*'E Balans VL '!Y20/100/3.6*1000000</f>
        <v>46.549746889609992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494.69799389582198</v>
      </c>
      <c r="C15" s="33"/>
      <c r="D15" s="37">
        <f>IF( ISERROR(IND_rest_gas_kWh/1000),0,IND_rest_gas_kWh/1000)*0.902</f>
        <v>267.81775780145659</v>
      </c>
      <c r="E15" s="33">
        <f>C37*'E Balans VL '!I15/100/3.6*1000000</f>
        <v>27.598293355270322</v>
      </c>
      <c r="F15" s="33">
        <f>C37*'E Balans VL '!L15/100/3.6*1000000+C37*'E Balans VL '!N15/100/3.6*1000000</f>
        <v>116.29341790454578</v>
      </c>
      <c r="G15" s="34"/>
      <c r="H15" s="33"/>
      <c r="I15" s="33"/>
      <c r="J15" s="40">
        <f>C37*'E Balans VL '!D15/100/3.6*1000000+C37*'E Balans VL '!E15/100/3.6*1000000</f>
        <v>1.2679420680460434</v>
      </c>
      <c r="K15" s="33"/>
      <c r="L15" s="33"/>
      <c r="M15" s="33"/>
      <c r="N15" s="33">
        <f>C37*'E Balans VL '!Y15/100/3.6*1000000</f>
        <v>97.08602830112244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1170.863606700317</v>
      </c>
      <c r="C18" s="21">
        <f>C5+C16</f>
        <v>0</v>
      </c>
      <c r="D18" s="21">
        <f>MAX((D5+D16),0)</f>
        <v>628.53575508186168</v>
      </c>
      <c r="E18" s="21">
        <f>MAX((E5+E16),0)</f>
        <v>175.09872822138519</v>
      </c>
      <c r="F18" s="21">
        <f>MAX((F5+F16),0)</f>
        <v>688.01443592969042</v>
      </c>
      <c r="G18" s="21"/>
      <c r="H18" s="21"/>
      <c r="I18" s="21"/>
      <c r="J18" s="21">
        <f>MAX((J5+J16),0)</f>
        <v>1.2700382920600206</v>
      </c>
      <c r="K18" s="21"/>
      <c r="L18" s="21">
        <f>MAX((L5+L16),0)</f>
        <v>0</v>
      </c>
      <c r="M18" s="21"/>
      <c r="N18" s="21">
        <f>MAX((N5+N16),0)</f>
        <v>305.78684054779819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0.17865871660167182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209.18498928868325</v>
      </c>
      <c r="C22" s="23">
        <f ca="1">C18*C20</f>
        <v>0</v>
      </c>
      <c r="D22" s="23">
        <f>D18*D20</f>
        <v>126.96422252653606</v>
      </c>
      <c r="E22" s="23">
        <f>E18*E20</f>
        <v>39.747411306254442</v>
      </c>
      <c r="F22" s="23">
        <f>F18*F20</f>
        <v>183.69985439322735</v>
      </c>
      <c r="G22" s="23"/>
      <c r="H22" s="23"/>
      <c r="I22" s="23"/>
      <c r="J22" s="23">
        <f>J18*J20</f>
        <v>0.44959355538924728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22.956</v>
      </c>
      <c r="C30" s="39">
        <f>IF(ISERROR(B30*3.6/1000000/'E Balans VL '!Z18*100),0,B30*3.6/1000000/'E Balans VL '!Z18*100)</f>
        <v>2.2588117995744139E-3</v>
      </c>
      <c r="D30" s="239" t="s">
        <v>692</v>
      </c>
    </row>
    <row r="31" spans="1:18">
      <c r="A31" s="6" t="s">
        <v>33</v>
      </c>
      <c r="B31" s="37">
        <f>IF( ISERROR(IND_ander_ele_kWh/1000),0,IND_ander_ele_kWh/1000)</f>
        <v>494.75032650458996</v>
      </c>
      <c r="C31" s="39">
        <f>IF(ISERROR(B31*3.6/1000000/'E Balans VL '!Z19*100),0,B31*3.6/1000000/'E Balans VL '!Z19*100)</f>
        <v>2.1545982060827081E-2</v>
      </c>
      <c r="D31" s="239" t="s">
        <v>692</v>
      </c>
    </row>
    <row r="32" spans="1:18">
      <c r="A32" s="173" t="s">
        <v>41</v>
      </c>
      <c r="B32" s="37">
        <f>IF( ISERROR(IND_voed_ele_kWh/1000),0,IND_voed_ele_kWh/1000)</f>
        <v>158.45928629990502</v>
      </c>
      <c r="C32" s="39">
        <f>IF(ISERROR(B32*3.6/1000000/'E Balans VL '!Z20*100),0,B32*3.6/1000000/'E Balans VL '!Z20*100)</f>
        <v>3.0065364343895045E-2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494.69799389582198</v>
      </c>
      <c r="C37" s="39">
        <f>IF(ISERROR(B37*3.6/1000000/'E Balans VL '!Z15*100),0,B37*3.6/1000000/'E Balans VL '!Z15*100)</f>
        <v>3.8122556573504818E-3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387.15988477323742</v>
      </c>
      <c r="C5" s="17">
        <f>'Eigen informatie GS &amp; warmtenet'!B60</f>
        <v>0</v>
      </c>
      <c r="D5" s="30">
        <f>IF(ISERROR(SUM(LB_lb_gas_kWh,LB_rest_gas_kWh)/1000),0,SUM(LB_lb_gas_kWh,LB_rest_gas_kWh)/1000)*0.902</f>
        <v>41.545569933941636</v>
      </c>
      <c r="E5" s="17">
        <f>B17*'E Balans VL '!I25/3.6*1000000/100</f>
        <v>4.878713311483228</v>
      </c>
      <c r="F5" s="17">
        <f>B17*('E Balans VL '!L25/3.6*1000000+'E Balans VL '!N25/3.6*1000000)/100</f>
        <v>1335.7985918141558</v>
      </c>
      <c r="G5" s="18"/>
      <c r="H5" s="17"/>
      <c r="I5" s="17"/>
      <c r="J5" s="17">
        <f>('E Balans VL '!D25+'E Balans VL '!E25)/3.6*1000000*landbouw!B17/100</f>
        <v>58.224445591653314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387.15988477323742</v>
      </c>
      <c r="C8" s="21">
        <f>C5+C6</f>
        <v>0</v>
      </c>
      <c r="D8" s="21">
        <f>MAX((D5+D6),0)</f>
        <v>41.545569933941636</v>
      </c>
      <c r="E8" s="21">
        <f>MAX((E5+E6),0)</f>
        <v>4.878713311483228</v>
      </c>
      <c r="F8" s="21">
        <f>MAX((F5+F6),0)</f>
        <v>1335.7985918141558</v>
      </c>
      <c r="G8" s="21"/>
      <c r="H8" s="21"/>
      <c r="I8" s="21"/>
      <c r="J8" s="21">
        <f>MAX((J5+J6),0)</f>
        <v>58.224445591653314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0.17865871660167182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69.169488133237735</v>
      </c>
      <c r="C12" s="23">
        <f ca="1">C8*C10</f>
        <v>0</v>
      </c>
      <c r="D12" s="23">
        <f>D8*D10</f>
        <v>8.3922051266562114</v>
      </c>
      <c r="E12" s="23">
        <f>E8*E10</f>
        <v>1.1074679217066927</v>
      </c>
      <c r="F12" s="23">
        <f>F8*F10</f>
        <v>356.65822401437958</v>
      </c>
      <c r="G12" s="23"/>
      <c r="H12" s="23"/>
      <c r="I12" s="23"/>
      <c r="J12" s="23">
        <f>J8*J10</f>
        <v>20.61145373944527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5.3996601354612678E-2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161.37210257538896</v>
      </c>
      <c r="C26" s="249">
        <f>B26*'GWP N2O_CH4'!B5</f>
        <v>3388.8141540831684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25.820088777205083</v>
      </c>
      <c r="C27" s="249">
        <f>B27*'GWP N2O_CH4'!B5</f>
        <v>542.22186432130673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2.226480840536432</v>
      </c>
      <c r="C28" s="249">
        <f>B28*'GWP N2O_CH4'!B4</f>
        <v>690.20906056629394</v>
      </c>
      <c r="D28" s="50"/>
    </row>
    <row r="29" spans="1:4">
      <c r="A29" s="41" t="s">
        <v>277</v>
      </c>
      <c r="B29" s="249">
        <f>B34*'ha_N2O bodem landbouw'!B4</f>
        <v>11.252063030076664</v>
      </c>
      <c r="C29" s="249">
        <f>B29*'GWP N2O_CH4'!B4</f>
        <v>3488.1395393237658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2.8095277048582968E-3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1.3610727817149735E-5</v>
      </c>
      <c r="C5" s="448" t="s">
        <v>211</v>
      </c>
      <c r="D5" s="433">
        <f>SUM(D6:D11)</f>
        <v>2.6625985982125556E-5</v>
      </c>
      <c r="E5" s="433">
        <f>SUM(E6:E11)</f>
        <v>7.9469716837935757E-4</v>
      </c>
      <c r="F5" s="446" t="s">
        <v>211</v>
      </c>
      <c r="G5" s="433">
        <f>SUM(G6:G11)</f>
        <v>0.16161090624812768</v>
      </c>
      <c r="H5" s="433">
        <f>SUM(H6:H11)</f>
        <v>3.9391260405752089E-2</v>
      </c>
      <c r="I5" s="448" t="s">
        <v>211</v>
      </c>
      <c r="J5" s="448" t="s">
        <v>211</v>
      </c>
      <c r="K5" s="448" t="s">
        <v>211</v>
      </c>
      <c r="L5" s="448" t="s">
        <v>211</v>
      </c>
      <c r="M5" s="433">
        <f>SUM(M6:M11)</f>
        <v>9.0920434260132171E-3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6.9693656700005318E-6</v>
      </c>
      <c r="C6" s="887"/>
      <c r="D6" s="887">
        <f>vkm_2011_GW_PW*SUMIFS(TableVerdeelsleutelVkm[CNG],TableVerdeelsleutelVkm[Voertuigtype],"Lichte voertuigen")*SUMIFS(TableECFTransport[EnergieConsumptieFactor (PJ per km)],TableECFTransport[Index],CONCATENATE($A6,"_CNG_CNG"))</f>
        <v>9.8699848615407903E-6</v>
      </c>
      <c r="E6" s="887">
        <f>vkm_2011_GW_PW*SUMIFS(TableVerdeelsleutelVkm[LPG],TableVerdeelsleutelVkm[Voertuigtype],"Lichte voertuigen")*SUMIFS(TableECFTransport[EnergieConsumptieFactor (PJ per km)],TableECFTransport[Index],CONCATENATE($A6,"_LPG_LPG"))</f>
        <v>3.0998373165301417E-4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5.5712564564749371E-2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1.4928629971986802E-2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3.1960333588598152E-3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1.3495409549837715E-2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4.7947791093517768E-6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6.0900512295883954E-4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6.6413621471492045E-6</v>
      </c>
      <c r="C8" s="887"/>
      <c r="D8" s="436">
        <f>vkm_2011_NGW_PW*SUMIFS(TableVerdeelsleutelVkm[CNG],TableVerdeelsleutelVkm[Voertuigtype],"Lichte voertuigen")*SUMIFS(TableECFTransport[EnergieConsumptieFactor (PJ per km)],TableECFTransport[Index],CONCATENATE($A8,"_CNG_CNG"))</f>
        <v>1.6756001120584765E-5</v>
      </c>
      <c r="E8" s="436">
        <f>vkm_2011_NGW_PW*SUMIFS(TableVerdeelsleutelVkm[LPG],TableVerdeelsleutelVkm[Voertuigtype],"Lichte voertuigen")*SUMIFS(TableECFTransport[EnergieConsumptieFactor (PJ per km)],TableECFTransport[Index],CONCATENATE($A8,"_LPG_LPG"))</f>
        <v>4.8471343672634341E-4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8.2163627789661589E-2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2.4454393125008262E-2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4.8249464810392936E-3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1.0239304343878999E-2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3.4425296476712954E-6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4.6205846315526832E-4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3.7807577269860375</v>
      </c>
      <c r="C14" s="21"/>
      <c r="D14" s="21">
        <f t="shared" ref="D14:M14" si="0">((D5)*10^9/3600)+D12</f>
        <v>7.3961072172570992</v>
      </c>
      <c r="E14" s="21">
        <f t="shared" si="0"/>
        <v>220.74921343871043</v>
      </c>
      <c r="F14" s="21"/>
      <c r="G14" s="21">
        <f t="shared" si="0"/>
        <v>44891.918402257688</v>
      </c>
      <c r="H14" s="21">
        <f t="shared" si="0"/>
        <v>10942.016779375581</v>
      </c>
      <c r="I14" s="21"/>
      <c r="J14" s="21"/>
      <c r="K14" s="21"/>
      <c r="L14" s="21"/>
      <c r="M14" s="21">
        <f t="shared" si="0"/>
        <v>2525.5676183370047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0.17865871660167182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0.67546532328517939</v>
      </c>
      <c r="C18" s="23"/>
      <c r="D18" s="23">
        <f t="shared" ref="D18:M18" si="1">D14*D16</f>
        <v>1.4940136578859342</v>
      </c>
      <c r="E18" s="23">
        <f t="shared" si="1"/>
        <v>50.11007145058727</v>
      </c>
      <c r="F18" s="23"/>
      <c r="G18" s="23">
        <f t="shared" si="1"/>
        <v>11986.142213402803</v>
      </c>
      <c r="H18" s="23">
        <f t="shared" si="1"/>
        <v>2724.5621780645197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8.6730812068580888E-3</v>
      </c>
      <c r="H50" s="323">
        <f t="shared" si="2"/>
        <v>0</v>
      </c>
      <c r="I50" s="323">
        <f t="shared" si="2"/>
        <v>0</v>
      </c>
      <c r="J50" s="323">
        <f t="shared" si="2"/>
        <v>0</v>
      </c>
      <c r="K50" s="323">
        <f t="shared" si="2"/>
        <v>0</v>
      </c>
      <c r="L50" s="323">
        <f t="shared" si="2"/>
        <v>0</v>
      </c>
      <c r="M50" s="323">
        <f t="shared" si="2"/>
        <v>3.8571313490035422E-4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8.6730812068580888E-3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3.8571313490035422E-4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2409.1892241272471</v>
      </c>
      <c r="H54" s="21">
        <f t="shared" si="3"/>
        <v>0</v>
      </c>
      <c r="I54" s="21">
        <f t="shared" si="3"/>
        <v>0</v>
      </c>
      <c r="J54" s="21">
        <f t="shared" si="3"/>
        <v>0</v>
      </c>
      <c r="K54" s="21">
        <f t="shared" si="3"/>
        <v>0</v>
      </c>
      <c r="L54" s="21">
        <f t="shared" si="3"/>
        <v>0</v>
      </c>
      <c r="M54" s="21">
        <f t="shared" si="3"/>
        <v>107.14253747232061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0.17865871660167182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643.25352284197504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1830.2611299999999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54</v>
      </c>
      <c r="C8" s="560">
        <f>B101</f>
        <v>0</v>
      </c>
      <c r="D8" s="1028"/>
      <c r="E8" s="1028">
        <f>E101</f>
        <v>0</v>
      </c>
      <c r="F8" s="1029"/>
      <c r="G8" s="561"/>
      <c r="H8" s="1028">
        <f>I101</f>
        <v>0</v>
      </c>
      <c r="I8" s="1028">
        <f>G101+F101</f>
        <v>63.529411764705884</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4864.5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6748.7611299999999</v>
      </c>
      <c r="C10" s="573">
        <f t="shared" ref="C10:L10" si="0">SUM(C8:C9)</f>
        <v>0</v>
      </c>
      <c r="D10" s="573">
        <f t="shared" si="0"/>
        <v>0</v>
      </c>
      <c r="E10" s="573">
        <f t="shared" si="0"/>
        <v>0</v>
      </c>
      <c r="F10" s="573">
        <f t="shared" si="0"/>
        <v>0</v>
      </c>
      <c r="G10" s="573">
        <f t="shared" si="0"/>
        <v>0</v>
      </c>
      <c r="H10" s="573">
        <f t="shared" si="0"/>
        <v>0</v>
      </c>
      <c r="I10" s="573">
        <f t="shared" si="0"/>
        <v>63.529411764705884</v>
      </c>
      <c r="J10" s="573">
        <f t="shared" si="0"/>
        <v>13898.571428571429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60.75</v>
      </c>
      <c r="C17" s="585">
        <f>B102</f>
        <v>0</v>
      </c>
      <c r="D17" s="586"/>
      <c r="E17" s="586">
        <f>E102</f>
        <v>0</v>
      </c>
      <c r="F17" s="1034"/>
      <c r="G17" s="587"/>
      <c r="H17" s="585">
        <f>I102</f>
        <v>0</v>
      </c>
      <c r="I17" s="586">
        <f>G102+F102</f>
        <v>71.470588235294116</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60.75</v>
      </c>
      <c r="C20" s="572">
        <f>SUM(C17:C19)</f>
        <v>0</v>
      </c>
      <c r="D20" s="572">
        <f t="shared" ref="D20:L20" si="1">SUM(D17:D19)</f>
        <v>0</v>
      </c>
      <c r="E20" s="572">
        <f t="shared" si="1"/>
        <v>0</v>
      </c>
      <c r="F20" s="572">
        <f t="shared" si="1"/>
        <v>0</v>
      </c>
      <c r="G20" s="572">
        <f t="shared" si="1"/>
        <v>0</v>
      </c>
      <c r="H20" s="572">
        <f t="shared" si="1"/>
        <v>0</v>
      </c>
      <c r="I20" s="572">
        <f t="shared" si="1"/>
        <v>71.470588235294116</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24045</v>
      </c>
      <c r="C28" s="791">
        <v>3040</v>
      </c>
      <c r="D28" s="644" t="s">
        <v>913</v>
      </c>
      <c r="E28" s="643" t="s">
        <v>914</v>
      </c>
      <c r="F28" s="643" t="s">
        <v>915</v>
      </c>
      <c r="G28" s="643" t="s">
        <v>916</v>
      </c>
      <c r="H28" s="643" t="s">
        <v>917</v>
      </c>
      <c r="I28" s="643" t="s">
        <v>914</v>
      </c>
      <c r="J28" s="790">
        <v>40026</v>
      </c>
      <c r="K28" s="790">
        <v>40891</v>
      </c>
      <c r="L28" s="643" t="s">
        <v>918</v>
      </c>
      <c r="M28" s="643">
        <v>12</v>
      </c>
      <c r="N28" s="643">
        <v>54</v>
      </c>
      <c r="O28" s="643">
        <v>60.75</v>
      </c>
      <c r="P28" s="643">
        <v>0</v>
      </c>
      <c r="Q28" s="643">
        <v>0</v>
      </c>
      <c r="R28" s="643">
        <v>0</v>
      </c>
      <c r="S28" s="643">
        <v>0</v>
      </c>
      <c r="T28" s="643">
        <v>0</v>
      </c>
      <c r="U28" s="643">
        <v>135</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v>
      </c>
      <c r="N58" s="601">
        <f>SUM(N28:N57)</f>
        <v>54</v>
      </c>
      <c r="O58" s="601">
        <f t="shared" ref="O58:W58" si="2">SUM(O28:O57)</f>
        <v>60.75</v>
      </c>
      <c r="P58" s="601">
        <f t="shared" si="2"/>
        <v>0</v>
      </c>
      <c r="Q58" s="601">
        <f t="shared" si="2"/>
        <v>0</v>
      </c>
      <c r="R58" s="601">
        <f t="shared" si="2"/>
        <v>0</v>
      </c>
      <c r="S58" s="601">
        <f t="shared" si="2"/>
        <v>0</v>
      </c>
      <c r="T58" s="601">
        <f t="shared" si="2"/>
        <v>0</v>
      </c>
      <c r="U58" s="601">
        <f t="shared" si="2"/>
        <v>135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12</v>
      </c>
      <c r="N60" s="601">
        <f ca="1">SUMIF($Z$28:AD57,"tertiair",N28:N57)</f>
        <v>54</v>
      </c>
      <c r="O60" s="601">
        <f ca="1">SUMIF($Z$28:AE57,"tertiair",O28:O57)</f>
        <v>60.75</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135</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24045</v>
      </c>
      <c r="C64" s="791">
        <v>3040</v>
      </c>
      <c r="D64" s="646" t="s">
        <v>919</v>
      </c>
      <c r="E64" s="646" t="s">
        <v>920</v>
      </c>
      <c r="F64" s="646" t="s">
        <v>921</v>
      </c>
      <c r="G64" s="646" t="s">
        <v>922</v>
      </c>
      <c r="H64" s="646" t="s">
        <v>923</v>
      </c>
      <c r="I64" s="646" t="s">
        <v>924</v>
      </c>
      <c r="J64" s="790">
        <v>37659</v>
      </c>
      <c r="K64" s="790">
        <v>37712</v>
      </c>
      <c r="L64" s="646" t="s">
        <v>925</v>
      </c>
      <c r="M64" s="646">
        <v>1081</v>
      </c>
      <c r="N64" s="646">
        <v>4864.5</v>
      </c>
      <c r="O64" s="646">
        <v>0</v>
      </c>
      <c r="P64" s="646">
        <v>0</v>
      </c>
      <c r="Q64" s="646">
        <v>0</v>
      </c>
      <c r="R64" s="646">
        <v>13898.571428571429</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1081</v>
      </c>
      <c r="N89" s="601">
        <f t="shared" ref="N89:W89" si="5">SUM(N64:N88)</f>
        <v>4864.5</v>
      </c>
      <c r="O89" s="601">
        <f t="shared" si="5"/>
        <v>0</v>
      </c>
      <c r="P89" s="601">
        <f t="shared" si="5"/>
        <v>0</v>
      </c>
      <c r="Q89" s="601">
        <f t="shared" si="5"/>
        <v>0</v>
      </c>
      <c r="R89" s="601">
        <f t="shared" si="5"/>
        <v>13898.571428571429</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1081</v>
      </c>
      <c r="N91" s="601">
        <f t="shared" si="7"/>
        <v>4864.5</v>
      </c>
      <c r="O91" s="601">
        <f t="shared" si="7"/>
        <v>0</v>
      </c>
      <c r="P91" s="601">
        <f t="shared" si="7"/>
        <v>0</v>
      </c>
      <c r="Q91" s="601">
        <f t="shared" si="7"/>
        <v>0</v>
      </c>
      <c r="R91" s="601">
        <f t="shared" si="7"/>
        <v>13898.571428571429</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63.529411764705884</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71.470588235294116</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2019-08-12T08:02:16Z</dcterms:modified>
</cp:coreProperties>
</file>