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K20" s="1"/>
  <c r="J19"/>
  <c r="I19"/>
  <c r="H19"/>
  <c r="G19"/>
  <c r="F19"/>
  <c r="E19"/>
  <c r="D19"/>
  <c r="C19"/>
  <c r="B19"/>
  <c r="N18"/>
  <c r="M18"/>
  <c r="L18"/>
  <c r="K18"/>
  <c r="J18"/>
  <c r="I18"/>
  <c r="H18"/>
  <c r="G18"/>
  <c r="G20" s="1"/>
  <c r="F18"/>
  <c r="F20" s="1"/>
  <c r="E18"/>
  <c r="D18"/>
  <c r="D20" s="1"/>
  <c r="C18"/>
  <c r="B18"/>
  <c r="L9"/>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L20"/>
  <c r="O18"/>
  <c r="B17"/>
  <c r="G12"/>
  <c r="F12"/>
  <c r="E12"/>
  <c r="D12"/>
  <c r="C12"/>
  <c r="L10"/>
  <c r="G10"/>
  <c r="F10"/>
  <c r="D10"/>
  <c r="B8"/>
  <c r="B6"/>
  <c r="B5"/>
  <c r="B4"/>
  <c r="I102" l="1"/>
  <c r="H17" s="1"/>
  <c r="H20" s="1"/>
  <c r="B102"/>
  <c r="C17" s="1"/>
  <c r="C102"/>
  <c r="G102"/>
  <c r="I17" s="1"/>
  <c r="F102"/>
  <c r="I101"/>
  <c r="H8" s="1"/>
  <c r="H10" s="1"/>
  <c r="B101"/>
  <c r="C8" s="1"/>
  <c r="C101"/>
  <c r="F101"/>
  <c r="G101"/>
  <c r="H101"/>
  <c r="D101"/>
  <c r="O9"/>
  <c r="B10"/>
  <c r="B20"/>
  <c r="O19"/>
  <c r="I20"/>
  <c r="C20"/>
  <c r="C10"/>
  <c r="D102"/>
  <c r="H102"/>
  <c r="E101"/>
  <c r="E8" s="1"/>
  <c r="E10" s="1"/>
  <c r="E102"/>
  <c r="E17" s="1"/>
  <c r="E20" s="1"/>
  <c r="N6" i="17"/>
  <c r="I8" i="18" l="1"/>
  <c r="I1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Q12" s="1"/>
  <c r="P17"/>
  <c r="O17"/>
  <c r="O32" s="1"/>
  <c r="M4"/>
  <c r="L4"/>
  <c r="K4"/>
  <c r="I4"/>
  <c r="H4"/>
  <c r="G4"/>
  <c r="P11"/>
  <c r="O11"/>
  <c r="N11"/>
  <c r="M11"/>
  <c r="L11"/>
  <c r="K11"/>
  <c r="J11"/>
  <c r="I11"/>
  <c r="H11"/>
  <c r="G11"/>
  <c r="F11"/>
  <c r="E11"/>
  <c r="Q11" s="1"/>
  <c r="D11"/>
  <c r="C11"/>
  <c r="B11"/>
  <c r="P32"/>
  <c r="P29"/>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M22" s="1"/>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K78" l="1"/>
  <c r="K8" i="59"/>
  <c r="K10" s="1"/>
  <c r="E90" i="14"/>
  <c r="E18" i="59"/>
  <c r="D22" i="14"/>
  <c r="K20" i="59"/>
  <c r="L20"/>
  <c r="G22" i="14"/>
  <c r="O22"/>
  <c r="P22"/>
  <c r="O25" i="48"/>
  <c r="L78" i="14"/>
  <c r="L9" i="59"/>
  <c r="L10" s="1"/>
  <c r="O28" i="48"/>
  <c r="L22" i="14"/>
  <c r="D14" i="48"/>
  <c r="E20" i="59"/>
  <c r="E10"/>
  <c r="N78" i="14"/>
  <c r="K90"/>
  <c r="L90"/>
  <c r="H90"/>
  <c r="L13" i="15"/>
  <c r="N13"/>
  <c r="F77" i="14"/>
  <c r="O78"/>
  <c r="N88"/>
  <c r="E78"/>
  <c r="H77"/>
  <c r="H9" i="59" s="1"/>
  <c r="H10" s="1"/>
  <c r="O88" i="14"/>
  <c r="G89"/>
  <c r="G78"/>
  <c r="O31" i="48"/>
  <c r="O27"/>
  <c r="O29"/>
  <c r="P31"/>
  <c r="Q14"/>
  <c r="O24"/>
  <c r="O30"/>
  <c r="P24"/>
  <c r="P30"/>
  <c r="R9" i="14"/>
  <c r="R25"/>
  <c r="O90" l="1"/>
  <c r="O18" i="59"/>
  <c r="O20" s="1"/>
  <c r="C89" i="14"/>
  <c r="C19" i="59" s="1"/>
  <c r="G19"/>
  <c r="G20" s="1"/>
  <c r="B77" i="14"/>
  <c r="B9" i="59" s="1"/>
  <c r="F9"/>
  <c r="N90" i="14"/>
  <c r="N18" i="59"/>
  <c r="N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M90" i="14"/>
  <c r="M17" i="59"/>
  <c r="M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D30" i="48" l="1"/>
  <c r="D28"/>
  <c r="D24"/>
  <c r="D29"/>
  <c r="D31"/>
  <c r="D32"/>
  <c r="L28"/>
  <c r="L32"/>
  <c r="L29"/>
  <c r="L31"/>
  <c r="L30"/>
  <c r="L24"/>
  <c r="L27"/>
  <c r="L22"/>
  <c r="P5"/>
  <c r="P23" s="1"/>
  <c r="Q10" i="14"/>
  <c r="J27" i="48"/>
  <c r="J29"/>
  <c r="J31"/>
  <c r="J32"/>
  <c r="J30"/>
  <c r="J28"/>
  <c r="J24"/>
  <c r="O4"/>
  <c r="P11" i="14"/>
  <c r="C11"/>
  <c r="B4" i="48"/>
  <c r="F32"/>
  <c r="F27"/>
  <c r="F28"/>
  <c r="F30"/>
  <c r="F31"/>
  <c r="F29"/>
  <c r="F24"/>
  <c r="N32"/>
  <c r="N29"/>
  <c r="N30"/>
  <c r="N31"/>
  <c r="N27"/>
  <c r="N24"/>
  <c r="N28"/>
  <c r="B10"/>
  <c r="C19" i="14"/>
  <c r="E32" i="48"/>
  <c r="E28"/>
  <c r="E24"/>
  <c r="E31"/>
  <c r="E30"/>
  <c r="E29"/>
  <c r="M22"/>
  <c r="M26"/>
  <c r="M32"/>
  <c r="M29"/>
  <c r="M24"/>
  <c r="M30"/>
  <c r="M25"/>
  <c r="M23"/>
  <c r="K5"/>
  <c r="L10" i="14"/>
  <c r="L16" s="1"/>
  <c r="L27" s="1"/>
  <c r="K32" i="48"/>
  <c r="K28"/>
  <c r="K26"/>
  <c r="K29"/>
  <c r="K24"/>
  <c r="K27"/>
  <c r="K25"/>
  <c r="K31"/>
  <c r="K30"/>
  <c r="K22"/>
  <c r="C24" i="14"/>
  <c r="C26" s="1"/>
  <c r="B7" i="48"/>
  <c r="P4"/>
  <c r="Q11" i="14"/>
  <c r="I28" i="48"/>
  <c r="I31"/>
  <c r="I32"/>
  <c r="I25"/>
  <c r="I29"/>
  <c r="I26"/>
  <c r="I27"/>
  <c r="I24"/>
  <c r="I22"/>
  <c r="I30"/>
  <c r="E11" i="14"/>
  <c r="D4" i="48"/>
  <c r="D22" s="1"/>
  <c r="H29"/>
  <c r="H26"/>
  <c r="H25"/>
  <c r="H32"/>
  <c r="H24"/>
  <c r="H28"/>
  <c r="H22"/>
  <c r="H30"/>
  <c r="H23"/>
  <c r="D11" i="14"/>
  <c r="C4" i="48"/>
  <c r="G32"/>
  <c r="G26"/>
  <c r="G30"/>
  <c r="G29"/>
  <c r="G24"/>
  <c r="G22"/>
  <c r="G25"/>
  <c r="G23"/>
  <c r="N46"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K15" i="48"/>
  <c r="K23"/>
  <c r="F20" i="14"/>
  <c r="F22" s="1"/>
  <c r="E9" i="48"/>
  <c r="P22" i="16"/>
  <c r="Q43" i="14" s="1"/>
  <c r="P8" i="48"/>
  <c r="P26" s="1"/>
  <c r="Q13" i="14"/>
  <c r="D9" i="48"/>
  <c r="D27" s="1"/>
  <c r="E20" i="14"/>
  <c r="E22" s="1"/>
  <c r="B9" i="48"/>
  <c r="C20" i="14"/>
  <c r="O5" i="48"/>
  <c r="O23" s="1"/>
  <c r="P10" i="14"/>
  <c r="F4" i="48"/>
  <c r="F22" s="1"/>
  <c r="G11" i="14"/>
  <c r="K24"/>
  <c r="K26" s="1"/>
  <c r="J7" i="48"/>
  <c r="J25" s="1"/>
  <c r="J10" i="14"/>
  <c r="J16" s="1"/>
  <c r="J27" s="1"/>
  <c r="I5" i="48"/>
  <c r="L63" i="14"/>
  <c r="K33" i="48"/>
  <c r="L46" i="14"/>
  <c r="L61" s="1"/>
  <c r="M12" i="22"/>
  <c r="N18" i="14"/>
  <c r="M13" i="48"/>
  <c r="M31" s="1"/>
  <c r="P22"/>
  <c r="O22"/>
  <c r="Q16" i="14"/>
  <c r="Q27"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E12" l="1"/>
  <c r="F41" i="14" s="1"/>
  <c r="E4" i="48"/>
  <c r="F11" i="14"/>
  <c r="O11"/>
  <c r="N4" i="48"/>
  <c r="N22" s="1"/>
  <c r="G31"/>
  <c r="Q13"/>
  <c r="P13" i="14"/>
  <c r="O8" i="48"/>
  <c r="O26" s="1"/>
  <c r="O33" s="1"/>
  <c r="H19" i="14"/>
  <c r="R19" s="1"/>
  <c r="G10" i="48"/>
  <c r="P16" i="14"/>
  <c r="P27" s="1"/>
  <c r="P33" i="48"/>
  <c r="C22" i="14"/>
  <c r="Q46"/>
  <c r="Q61" s="1"/>
  <c r="Q63" s="1"/>
  <c r="J4" i="48"/>
  <c r="K11" i="14"/>
  <c r="I23" i="48"/>
  <c r="I33" s="1"/>
  <c r="I15"/>
  <c r="G9"/>
  <c r="H20" i="14"/>
  <c r="N19"/>
  <c r="M10" i="48"/>
  <c r="M28" s="1"/>
  <c r="F24" i="14"/>
  <c r="F26" s="1"/>
  <c r="E7" i="48"/>
  <c r="E25" s="1"/>
  <c r="E27"/>
  <c r="M14" i="22"/>
  <c r="P15" i="48"/>
  <c r="P46" i="14"/>
  <c r="P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N22"/>
  <c r="N27" s="1"/>
  <c r="N63" s="1"/>
  <c r="E22" i="48"/>
  <c r="Q4"/>
  <c r="G28"/>
  <c r="Q10"/>
  <c r="I20" i="14"/>
  <c r="H9" i="48"/>
  <c r="E20" i="15"/>
  <c r="F40" i="14" s="1"/>
  <c r="E5" i="48"/>
  <c r="E23" s="1"/>
  <c r="F10" i="14"/>
  <c r="M9" i="48"/>
  <c r="N20" i="14"/>
  <c r="G27" i="48"/>
  <c r="G33" s="1"/>
  <c r="G15"/>
  <c r="E61" i="14"/>
  <c r="H22"/>
  <c r="H27" s="1"/>
  <c r="J22" i="48"/>
  <c r="K10" i="14"/>
  <c r="J5" i="48"/>
  <c r="J23" s="1"/>
  <c r="R11" i="14"/>
  <c r="P63"/>
  <c r="O15" i="48"/>
  <c r="M61" i="14"/>
  <c r="M27"/>
  <c r="E16"/>
  <c r="E27" s="1"/>
  <c r="L15" i="48"/>
  <c r="R24" i="14"/>
  <c r="R26" s="1"/>
  <c r="L33" i="48"/>
  <c r="Q7"/>
  <c r="R10" i="14"/>
  <c r="D23" i="48"/>
  <c r="D33" s="1"/>
  <c r="D15"/>
  <c r="C16" i="14"/>
  <c r="C27" s="1"/>
  <c r="B3" i="6" s="1"/>
  <c r="B12" s="1"/>
  <c r="F23" i="48"/>
  <c r="N23"/>
  <c r="Q5"/>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H27" i="48" l="1"/>
  <c r="H33" s="1"/>
  <c r="H15"/>
  <c r="Q9"/>
  <c r="J22" i="16"/>
  <c r="K43" i="14" s="1"/>
  <c r="K46" s="1"/>
  <c r="K61" s="1"/>
  <c r="K63" s="1"/>
  <c r="K13"/>
  <c r="J8" i="48"/>
  <c r="M27"/>
  <c r="M33" s="1"/>
  <c r="M15"/>
  <c r="I63" i="14"/>
  <c r="F46"/>
  <c r="F61" s="1"/>
  <c r="H63"/>
  <c r="E63"/>
  <c r="K16"/>
  <c r="K27" s="1"/>
  <c r="R20"/>
  <c r="R22" s="1"/>
  <c r="I22"/>
  <c r="I27" s="1"/>
  <c r="E8" i="48"/>
  <c r="E26" s="1"/>
  <c r="E33" s="1"/>
  <c r="F13" i="14"/>
  <c r="F16" s="1"/>
  <c r="F27" s="1"/>
  <c r="F63" s="1"/>
  <c r="E22" i="16"/>
  <c r="F43" i="14"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J26" i="48" l="1"/>
  <c r="J33" s="1"/>
  <c r="J15"/>
  <c r="E15"/>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<sst xmlns="http://schemas.openxmlformats.org/spreadsheetml/2006/main" count="2441" uniqueCount="918">
  <si>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</si>
  <si>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</si>
  <si>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</si>
  <si>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</si>
  <si>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</si>
  <si>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</si>
  <si>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</si>
  <si>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</si>
  <si>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</si>
  <si>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</si>
  <si>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</si>
  <si>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</si>
  <si>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</si>
  <si>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</si>
  <si>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</si>
  <si>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</si>
  <si>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</si>
  <si>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</si>
  <si>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</si>
  <si>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</si>
  <si>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</si>
  <si>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</si>
  <si>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</si>
  <si>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</si>
  <si>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</si>
  <si>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</si>
  <si>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</si>
  <si>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</si>
  <si>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</si>
  <si>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</si>
  <si>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</si>
  <si>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</si>
  <si>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</si>
  <si>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</si>
  <si>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</si>
  <si>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</si>
  <si>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</si>
  <si>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</si>
  <si>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</si>
  <si>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</si>
  <si>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</si>
  <si>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</si>
  <si>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</si>
  <si>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</si>
  <si>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</si>
  <si>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</si>
  <si>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</si>
  <si>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</si>
  <si>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</si>
  <si>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</si>
  <si>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</si>
  <si>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</si>
  <si>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</si>
  <si>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</si>
  <si>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</si>
  <si>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</si>
  <si>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</si>
  <si>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</si>
  <si>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</si>
  <si>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</si>
  <si>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</si>
  <si>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</si>
  <si>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</si>
  <si>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</si>
  <si>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</si>
  <si>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</si>
  <si>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</si>
  <si>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</si>
  <si>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</si>
  <si>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</si>
  <si>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</si>
  <si>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</si>
  <si>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</si>
  <si>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</si>
  <si>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</si>
  <si>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</si>
  <si>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</si>
  <si>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</si>
  <si>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</si>
  <si>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</si>
  <si>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</si>
  <si>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</si>
  <si>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</si>
  <si>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</si>
  <si>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</si>
  <si>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</si>
  <si>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</si>
  <si>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</si>
  <si>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</si>
  <si>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</si>
  <si>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</si>
  <si>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</si>
  <si>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</si>
  <si>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</si>
  <si>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</si>
  <si>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</si>
  <si>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</si>
  <si>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</si>
  <si>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</si>
  <si>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</si>
  <si>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</si>
  <si>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</si>
  <si>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</si>
  <si>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</si>
  <si>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</si>
  <si>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</si>
  <si>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</si>
  <si>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</si>
  <si>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</si>
  <si>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</si>
  <si>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</si>
  <si>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</si>
  <si>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</si>
  <si>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</si>
  <si>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</si>
  <si>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</si>
  <si>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</si>
  <si>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</si>
  <si>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</si>
  <si>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</si>
  <si>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</si>
  <si>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</si>
  <si>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</si>
  <si>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</si>
  <si>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</si>
  <si>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</si>
  <si>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</si>
  <si>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</si>
  <si>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</si>
  <si>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</si>
  <si>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</si>
  <si>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</si>
  <si>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</si>
  <si>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</si>
  <si>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</si>
  <si>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</si>
  <si>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</si>
  <si>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</si>
  <si>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</si>
  <si>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</si>
  <si>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</si>
  <si>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</si>
  <si>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</si>
  <si>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</si>
  <si>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</si>
  <si>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</si>
  <si>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</si>
  <si>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</si>
  <si>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</si>
  <si>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</si>
  <si>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</si>
  <si>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</si>
  <si>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</si>
  <si>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</si>
  <si>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</si>
  <si>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</si>
  <si>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</si>
  <si>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</si>
  <si>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</si>
  <si>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</si>
  <si>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</si>
  <si>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</si>
  <si>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</si>
  <si>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</si>
  <si>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</si>
  <si>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</si>
  <si>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</si>
  <si>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</si>
  <si>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</si>
  <si>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</si>
  <si>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</si>
  <si>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</si>
  <si>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</si>
  <si>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</si>
  <si>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</si>
  <si>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</si>
  <si>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</si>
  <si>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</si>
  <si>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</si>
  <si>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</si>
  <si>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</si>
  <si>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</si>
  <si>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</si>
  <si>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</si>
  <si>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</si>
  <si>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</si>
  <si>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</si>
  <si>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</si>
  <si>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</si>
  <si>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</si>
  <si>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</si>
  <si>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</si>
  <si>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</si>
  <si>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</si>
  <si>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</si>
  <si>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</si>
  <si>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</si>
  <si>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</si>
  <si>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</si>
  <si>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</si>
  <si>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</si>
  <si>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</si>
  <si>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</si>
  <si>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</si>
  <si>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</si>
  <si>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</si>
  <si>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</si>
  <si>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</si>
  <si>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</si>
  <si>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</si>
  <si>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</si>
  <si>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</si>
  <si>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</si>
  <si>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</si>
  <si>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</si>
  <si>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</si>
  <si>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</si>
  <si>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</si>
  <si>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</si>
  <si>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</si>
  <si>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</si>
  <si>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</si>
  <si>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</si>
  <si>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</si>
  <si>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</si>
  <si>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</si>
  <si>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</si>
  <si>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</si>
  <si>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</si>
  <si>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</si>
  <si>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</si>
  <si>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</si>
  <si>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</si>
  <si>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</si>
  <si>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</si>
  <si>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</si>
  <si>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</si>
  <si>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</si>
  <si>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</si>
  <si>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</si>
  <si>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</si>
  <si>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</si>
  <si>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</si>
  <si>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</si>
  <si>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</si>
  <si>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</si>
  <si>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</si>
  <si>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</si>
  <si>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</si>
  <si>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</si>
  <si>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</si>
  <si>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</si>
  <si>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</si>
  <si>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</si>
  <si>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</si>
  <si>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</si>
  <si>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</si>
  <si>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</si>
  <si>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</si>
  <si>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</si>
  <si>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</si>
  <si>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</si>
  <si>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</si>
  <si>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</si>
  <si>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</si>
  <si>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</si>
  <si>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</si>
  <si>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</si>
  <si>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</si>
  <si>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</si>
  <si>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</si>
  <si>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</si>
  <si>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</si>
  <si>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</si>
  <si>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</si>
  <si>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</si>
  <si>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</si>
  <si>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</si>
  <si>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</si>
  <si>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</si>
  <si>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</si>
  <si>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</si>
  <si>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</si>
  <si>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</si>
  <si>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</si>
  <si>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</si>
  <si>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</si>
  <si>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</si>
  <si>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</si>
  <si>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</si>
  <si>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</si>
  <si>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</si>
  <si>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</si>
  <si>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</si>
  <si>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</si>
  <si>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</si>
  <si>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</si>
  <si>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</si>
  <si>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</si>
  <si>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</si>
  <si>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</si>
  <si>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</si>
  <si>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</si>
  <si>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</si>
  <si>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</si>
  <si>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</si>
  <si>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</si>
  <si>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</si>
  <si>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</si>
  <si>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</si>
  <si>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</si>
  <si>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</si>
  <si>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</si>
  <si>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</si>
  <si>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</si>
  <si>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</si>
  <si>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</si>
  <si>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</si>
  <si>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</si>
  <si>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</si>
  <si>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</si>
  <si>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</si>
  <si>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</si>
  <si>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</si>
  <si>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</si>
  <si>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</si>
  <si>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</si>
  <si>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</si>
  <si>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</si>
  <si>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</si>
  <si>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</si>
  <si>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</si>
  <si>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</si>
  <si>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</si>
  <si>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</si>
  <si>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</si>
  <si>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</si>
  <si>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</si>
  <si>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</si>
  <si>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</si>
  <si>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</si>
  <si>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</si>
  <si>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</si>
  <si>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</si>
  <si>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</si>
  <si>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</si>
  <si>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</si>
  <si>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</si>
  <si>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</si>
  <si>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</si>
  <si>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</si>
  <si>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</si>
  <si>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</si>
  <si>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</si>
  <si>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</si>
  <si>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</si>
  <si>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</si>
  <si>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</si>
  <si>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</si>
  <si>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</si>
  <si>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</si>
  <si>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</si>
  <si>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</si>
  <si>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</si>
  <si>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</si>
  <si>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</si>
  <si>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</si>
  <si>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</si>
  <si>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</si>
  <si>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</si>
  <si>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</si>
  <si>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</si>
  <si>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</si>
  <si>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</si>
  <si>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</si>
  <si>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</si>
  <si>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</si>
  <si>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</si>
  <si>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</si>
  <si>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</si>
  <si>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</si>
  <si>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</si>
  <si>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</si>
  <si>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</si>
  <si>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</si>
  <si>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</si>
  <si>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</si>
  <si>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</si>
  <si>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</si>
  <si>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</si>
  <si>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</si>
  <si>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</si>
  <si>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</si>
  <si>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</si>
  <si>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</si>
  <si>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</si>
  <si>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</si>
  <si>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</si>
  <si>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</si>
  <si>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</si>
  <si>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</si>
  <si>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</si>
  <si>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</si>
  <si>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</si>
  <si>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</si>
  <si>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</si>
  <si>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</si>
  <si>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</si>
  <si>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</si>
  <si>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</si>
  <si>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</si>
  <si>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</si>
  <si>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</si>
  <si>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</si>
  <si>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</si>
  <si>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</si>
  <si>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</si>
  <si>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</si>
  <si>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</si>
  <si>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</si>
  <si>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</si>
  <si>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</si>
  <si>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</si>
  <si>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</si>
  <si>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</si>
  <si>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</si>
  <si>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</si>
  <si>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</si>
  <si>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</si>
  <si>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</si>
  <si>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</si>
  <si>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</si>
  <si>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</si>
  <si>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</si>
  <si>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</si>
  <si>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</si>
  <si>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</si>
  <si>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</si>
  <si>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</si>
  <si>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</si>
  <si>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</si>
  <si>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</si>
  <si>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</si>
  <si>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</si>
  <si>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</si>
  <si>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</si>
  <si>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</si>
  <si>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</si>
  <si>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</si>
  <si>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</si>
  <si>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</si>
  <si>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</si>
  <si>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</si>
  <si>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</si>
  <si>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</si>
  <si>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</si>
  <si>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</si>
  <si>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</si>
  <si>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</si>
  <si>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</si>
  <si>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</si>
  <si>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</si>
  <si>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</si>
  <si>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</si>
  <si>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</si>
  <si>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</si>
  <si>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</si>
  <si>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</si>
  <si>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</si>
  <si>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</si>
  <si>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</si>
  <si>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</si>
  <si>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</si>
  <si>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</si>
  <si>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</si>
  <si>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</si>
  <si>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</si>
  <si>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</si>
  <si>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</si>
  <si>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</si>
  <si>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</si>
  <si>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</si>
  <si>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</si>
  <si>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</si>
  <si>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</si>
  <si>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</si>
  <si>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</si>
  <si>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</si>
  <si>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</si>
  <si>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</si>
  <si>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</si>
  <si>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</si>
  <si>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</si>
  <si>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</si>
  <si>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</si>
  <si>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</si>
  <si>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</si>
  <si>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</si>
  <si>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</si>
  <si>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</si>
  <si>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</si>
  <si>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</si>
  <si>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</si>
  <si>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</si>
  <si>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</si>
  <si>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</si>
  <si>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</si>
  <si>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</si>
  <si>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</si>
  <si>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</si>
  <si>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</si>
  <si>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</si>
  <si>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</si>
  <si>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</si>
  <si>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</si>
  <si>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</si>
  <si>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</si>
  <si>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</si>
  <si>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</si>
  <si>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</si>
  <si>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</si>
  <si>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</si>
  <si>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</si>
  <si>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</si>
  <si>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</si>
  <si>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</si>
  <si>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</si>
  <si>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</si>
  <si>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</si>
  <si>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</si>
  <si>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</si>
  <si>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</si>
  <si>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</si>
  <si>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</si>
  <si>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</si>
  <si>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</si>
  <si>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</si>
  <si>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</si>
  <si>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</si>
  <si>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</si>
  <si>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</si>
  <si>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</si>
  <si>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</si>
  <si>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</si>
  <si>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</si>
  <si>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</si>
  <si>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</si>
  <si>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</si>
  <si>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</si>
  <si>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</si>
  <si>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</si>
  <si>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</si>
  <si>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</si>
  <si>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</si>
  <si>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</si>
  <si>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</si>
  <si>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</si>
  <si>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</si>
  <si>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</si>
  <si>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</si>
  <si>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</si>
  <si>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</si>
  <si>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</si>
  <si>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</si>
  <si>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</si>
  <si>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</si>
  <si>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</si>
  <si>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</si>
  <si>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</si>
  <si>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</si>
  <si>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</si>
  <si>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</si>
  <si>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</si>
  <si>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</si>
  <si>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</si>
  <si>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</si>
  <si>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</si>
  <si>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</si>
  <si>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</si>
  <si>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</si>
  <si>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</si>
  <si>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</si>
  <si>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</si>
  <si>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</si>
  <si>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</si>
  <si>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</si>
  <si>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</si>
  <si>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</si>
  <si>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</si>
  <si>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</si>
  <si>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</si>
  <si>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</si>
  <si>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</si>
  <si>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</si>
  <si>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</si>
  <si>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</si>
  <si>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</si>
  <si>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</si>
  <si>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</si>
  <si>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</si>
  <si>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</si>
  <si>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</si>
  <si>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</si>
  <si>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</si>
  <si>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</si>
  <si>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</si>
  <si>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</si>
  <si>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</si>
  <si>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</si>
  <si>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</si>
  <si>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</si>
  <si>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</si>
  <si>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</si>
  <si>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</si>
  <si>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</si>
  <si>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</si>
  <si>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</si>
  <si>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</si>
  <si>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</si>
  <si>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</si>
  <si>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</si>
  <si>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</si>
  <si>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</si>
  <si>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</si>
  <si>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</si>
  <si>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</si>
  <si>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</si>
  <si>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</si>
  <si>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</si>
  <si>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</si>
  <si>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</si>
  <si>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</si>
  <si>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</si>
  <si>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</si>
  <si>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</si>
  <si>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</si>
  <si>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</si>
  <si>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</si>
  <si>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</si>
  <si>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</si>
  <si>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</si>
  <si>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</si>
  <si>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</si>
  <si>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</si>
  <si>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</si>
  <si>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</si>
  <si>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</si>
  <si>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</si>
  <si>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</si>
  <si>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</si>
  <si>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</si>
  <si>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</si>
  <si>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</si>
  <si>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</si>
  <si>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</si>
  <si>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</si>
  <si>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</si>
  <si>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</si>
  <si>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</si>
  <si>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</si>
  <si>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</si>
  <si>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</si>
  <si>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</si>
  <si>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</si>
  <si>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</si>
  <si>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</si>
  <si>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</si>
  <si>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</si>
  <si>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</si>
  <si>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</si>
  <si>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</si>
  <si>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</si>
  <si>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</si>
  <si>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</si>
  <si>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</si>
  <si>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</si>
  <si>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</si>
  <si>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</si>
  <si>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</si>
  <si>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</si>
  <si>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</si>
  <si>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</si>
  <si>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</si>
  <si>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</si>
  <si>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</si>
  <si>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</si>
  <si>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</si>
  <si>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</si>
  <si>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</si>
  <si>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</si>
  <si>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</si>
  <si>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</si>
  <si>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</si>
  <si>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</si>
  <si>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</si>
  <si>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</si>
  <si>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</si>
  <si>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</si>
  <si>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</si>
  <si>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</si>
  <si>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</si>
  <si>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</si>
  <si>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</si>
  <si>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</si>
  <si>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</si>
  <si>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</si>
  <si>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</si>
  <si>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</si>
  <si>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</si>
  <si>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</si>
  <si>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</si>
  <si>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</si>
  <si>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</si>
  <si>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</si>
  <si>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</si>
  <si>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</si>
  <si>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</si>
  <si>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</si>
  <si>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</si>
  <si>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</si>
  <si>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</si>
  <si>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</si>
  <si>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</si>
  <si>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</si>
  <si>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</si>
  <si>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</si>
  <si>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</si>
  <si>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</si>
  <si>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</si>
  <si>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</si>
  <si>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</si>
  <si>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</si>
  <si>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</si>
  <si>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</si>
  <si>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</si>
  <si>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</si>
  <si>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</si>
  <si>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</si>
  <si>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</si>
  <si>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</si>
  <si>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</si>
  <si>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</si>
  <si>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</si>
  <si>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</si>
  <si>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</si>
  <si>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</si>
  <si>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</si>
  <si>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</si>
  <si>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</si>
  <si>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</si>
  <si>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</si>
  <si>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</si>
  <si>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</si>
  <si>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</si>
  <si>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</si>
  <si>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</si>
  <si>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</si>
  <si>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</si>
  <si>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</si>
  <si>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</si>
  <si>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</si>
  <si>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</si>
  <si>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</si>
  <si>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</si>
  <si>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</si>
  <si>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</si>
  <si>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</si>
  <si>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</si>
  <si>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</si>
  <si>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</si>
  <si>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</si>
  <si>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</si>
  <si>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</si>
  <si>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</si>
  <si>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</si>
  <si>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</si>
  <si>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</si>
  <si>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</si>
  <si>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</si>
  <si>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</si>
  <si>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</si>
  <si>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</si>
  <si>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</si>
  <si>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</si>
  <si>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</si>
  <si>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</si>
  <si>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</si>
  <si>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</si>
  <si>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</si>
  <si>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</si>
  <si>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</si>
  <si>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</si>
  <si>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</si>
  <si>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</si>
  <si>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</si>
  <si>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</si>
  <si>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</si>
  <si>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</si>
  <si>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</si>
  <si>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</si>
  <si>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</si>
  <si>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</si>
  <si>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</si>
  <si>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</si>
  <si>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</si>
  <si>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</si>
  <si>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</si>
  <si>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</si>
  <si>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</si>
  <si>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</si>
  <si>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</si>
  <si>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</si>
  <si>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</si>
  <si>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</si>
  <si>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</si>
  <si>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</si>
  <si>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</si>
  <si>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</si>
  <si>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</si>
  <si>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</si>
  <si>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</si>
  <si>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</si>
  <si>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</si>
  <si>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</si>
  <si>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</si>
  <si>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</si>
  <si>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</si>
  <si>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</si>
  <si>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</si>
  <si>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</si>
  <si>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</si>
  <si>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</si>
  <si>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</si>
  <si>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</si>
  <si>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</si>
  <si>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</si>
  <si>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</si>
  <si>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</si>
  <si>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</si>
  <si>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</si>
  <si>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</si>
  <si>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</si>
  <si>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</si>
  <si>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</si>
  <si>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</si>
  <si>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</si>
  <si>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</si>
  <si>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</si>
  <si>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</si>
  <si>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</si>
  <si>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</si>
  <si>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</si>
  <si>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</si>
  <si>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</si>
  <si>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</si>
  <si>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</si>
  <si>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</si>
  <si>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</si>
  <si>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</si>
  <si>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</si>
  <si>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</si>
  <si>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</si>
  <si>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</si>
  <si>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</si>
  <si>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</si>
  <si>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</si>
  <si>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</si>
  <si>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</si>
  <si>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</si>
  <si>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</si>
  <si>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</si>
  <si>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</si>
  <si>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</si>
  <si>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</si>
  <si>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</si>
  <si>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</si>
  <si>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</si>
  <si>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</si>
  <si>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</si>
  <si>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</si>
  <si>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</si>
  <si>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</si>
  <si>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</si>
  <si>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</si>
  <si>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</si>
  <si>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</si>
  <si>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</si>
  <si>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</si>
  <si>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</si>
  <si>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</si>
  <si>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</si>
  <si>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</si>
  <si>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</si>
  <si>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</si>
  <si>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</si>
  <si>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</si>
  <si>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</si>
  <si>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</si>
  <si>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</si>
  <si>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</si>
  <si>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</si>
  <si>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</si>
  <si>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</si>
  <si>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</si>
  <si>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</si>
  <si>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</si>
  <si>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24011</t>
  </si>
  <si>
    <t>BIERBEEK</t>
  </si>
  <si>
    <t>Cultuurgrond (ha)</t>
  </si>
  <si>
    <t>Paarden&amp;pony's 200 - 600 kg</t>
  </si>
  <si>
    <t>Paarden&amp;pony's &lt; 200 kg</t>
  </si>
  <si>
    <t>op basis van VEA (maart 2018) en Inventaris Hernieuwbare Energiebronnen (juni 2018)</t>
  </si>
  <si>
    <t>VEA (juni 2018)</t>
  </si>
  <si>
    <t>Luc Nuyens</t>
  </si>
  <si>
    <t>Panoramalaan 20 , 3360 Korbeek-Lo</t>
  </si>
  <si>
    <t>WKK-0392 Luc Nuyens</t>
  </si>
  <si>
    <t>stirlingmotor</t>
  </si>
  <si>
    <t>IVERLEK</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</si>
</sst>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88244.39763889258</c:v>
                </c:pt>
                <c:pt idx="1">
                  <c:v>35046.14286794269</c:v>
                </c:pt>
                <c:pt idx="2">
                  <c:v>491.88</c:v>
                </c:pt>
                <c:pt idx="3">
                  <c:v>2967.0795740207518</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82368"/>
        <c:axId val="182683904"/>
      </c:barChart>
      <c:catAx>
        <c:axId val="182682368"/>
        <c:scaling>
          <c:orientation val="minMax"/>
        </c:scaling>
        <c:axPos val="b"/>
        <c:numFmt formatCode="General" sourceLinked="0"/>
        <c:tickLblPos val="nextTo"/>
        <c:crossAx val="182683904"/>
        <c:crosses val="autoZero"/>
        <c:auto val="1"/>
        <c:lblAlgn val="ctr"/>
        <c:lblOffset val="100"/>
      </c:catAx>
      <c:valAx>
        <c:axId val="182683904"/>
        <c:scaling>
          <c:orientation val="minMax"/>
        </c:scaling>
        <c:axPos val="l"/>
        <c:majorGridlines/>
        <c:numFmt formatCode="#,##0" sourceLinked="1"/>
        <c:tickLblPos val="nextTo"/>
        <c:crossAx val="18268236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88244.39763889258</c:v>
                </c:pt>
                <c:pt idx="1">
                  <c:v>35046.14286794269</c:v>
                </c:pt>
                <c:pt idx="2">
                  <c:v>491.88</c:v>
                </c:pt>
                <c:pt idx="3">
                  <c:v>2967.0795740207518</c:v>
                </c:pt>
                <c:pt idx="4">
                  <c:v>3508.8450189520431</c:v>
                </c:pt>
                <c:pt idx="5">
                  <c:v>120782.14013969642</c:v>
                </c:pt>
                <c:pt idx="6">
                  <c:v>2458.8050191955858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17763.422696365116</c:v>
                </c:pt>
                <c:pt idx="2">
                  <c:v>7129.0134141897051</c:v>
                </c:pt>
                <c:pt idx="3">
                  <c:v>101.12903613368182</c:v>
                </c:pt>
                <c:pt idx="4">
                  <c:v>756.15330944905008</c:v>
                </c:pt>
                <c:pt idx="5">
                  <c:v>710.81110717025899</c:v>
                </c:pt>
                <c:pt idx="6">
                  <c:v>30513.279902824514</c:v>
                </c:pt>
                <c:pt idx="7">
                  <c:v>628.5478785888256</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99744"/>
        <c:axId val="182801536"/>
      </c:barChart>
      <c:catAx>
        <c:axId val="182799744"/>
        <c:scaling>
          <c:orientation val="minMax"/>
        </c:scaling>
        <c:axPos val="b"/>
        <c:numFmt formatCode="General" sourceLinked="0"/>
        <c:tickLblPos val="nextTo"/>
        <c:crossAx val="182801536"/>
        <c:crosses val="autoZero"/>
        <c:auto val="1"/>
        <c:lblAlgn val="ctr"/>
        <c:lblOffset val="100"/>
      </c:catAx>
      <c:valAx>
        <c:axId val="182801536"/>
        <c:scaling>
          <c:orientation val="minMax"/>
        </c:scaling>
        <c:axPos val="l"/>
        <c:majorGridlines/>
        <c:numFmt formatCode="#,##0" sourceLinked="1"/>
        <c:tickLblPos val="nextTo"/>
        <c:crossAx val="182799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17763.422696365116</c:v>
                </c:pt>
                <c:pt idx="2">
                  <c:v>7129.0134141897051</c:v>
                </c:pt>
                <c:pt idx="3">
                  <c:v>101.12903613368182</c:v>
                </c:pt>
                <c:pt idx="4">
                  <c:v>756.15330944905008</c:v>
                </c:pt>
                <c:pt idx="5">
                  <c:v>710.81110717025899</c:v>
                </c:pt>
                <c:pt idx="6">
                  <c:v>30513.279902824514</c:v>
                </c:pt>
                <c:pt idx="7">
                  <c:v>628.5478785888256</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24011</v>
      </c>
      <c r="B6" s="398"/>
      <c r="C6" s="399"/>
    </row>
    <row r="7" spans="1:7" s="396" customFormat="1" ht="15.75" customHeight="1">
      <c r="A7" s="400" t="str">
        <f>txtMunicipality</f>
        <v>BIERBEEK</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13894.741322580077</v>
      </c>
      <c r="D10" s="690">
        <f ca="1">tertiair!C16</f>
        <v>0</v>
      </c>
      <c r="E10" s="690">
        <f ca="1">tertiair!D16</f>
        <v>17803.027226068836</v>
      </c>
      <c r="F10" s="690">
        <f>tertiair!E16</f>
        <v>244.12091370934584</v>
      </c>
      <c r="G10" s="690">
        <f ca="1">tertiair!F16</f>
        <v>2703.3664041640286</v>
      </c>
      <c r="H10" s="690">
        <f>tertiair!G16</f>
        <v>0</v>
      </c>
      <c r="I10" s="690">
        <f>tertiair!H16</f>
        <v>0</v>
      </c>
      <c r="J10" s="690">
        <f>tertiair!I16</f>
        <v>0</v>
      </c>
      <c r="K10" s="690">
        <f>tertiair!J16</f>
        <v>0</v>
      </c>
      <c r="L10" s="690">
        <f>tertiair!K16</f>
        <v>0</v>
      </c>
      <c r="M10" s="690">
        <f ca="1">tertiair!L16</f>
        <v>0</v>
      </c>
      <c r="N10" s="690">
        <f>tertiair!M16</f>
        <v>0</v>
      </c>
      <c r="O10" s="690">
        <f ca="1">tertiair!N16</f>
        <v>830.87700142039864</v>
      </c>
      <c r="P10" s="690">
        <f>tertiair!O16</f>
        <v>4.6900000000000004</v>
      </c>
      <c r="Q10" s="691">
        <f>tertiair!P16</f>
        <v>57.2</v>
      </c>
      <c r="R10" s="693">
        <f ca="1">SUM(C10:Q10)</f>
        <v>35538.022867942687</v>
      </c>
      <c r="S10" s="67"/>
    </row>
    <row r="11" spans="1:19" s="458" customFormat="1">
      <c r="A11" s="805" t="s">
        <v>225</v>
      </c>
      <c r="B11" s="810"/>
      <c r="C11" s="690">
        <f>huishoudens!B8</f>
        <v>17994.171125925001</v>
      </c>
      <c r="D11" s="690">
        <f>huishoudens!C8</f>
        <v>0</v>
      </c>
      <c r="E11" s="690">
        <f>huishoudens!D8</f>
        <v>31063.405648474331</v>
      </c>
      <c r="F11" s="690">
        <f>huishoudens!E8</f>
        <v>3419.3135523424739</v>
      </c>
      <c r="G11" s="690">
        <f>huishoudens!F8</f>
        <v>26265.481541622048</v>
      </c>
      <c r="H11" s="690">
        <f>huishoudens!G8</f>
        <v>0</v>
      </c>
      <c r="I11" s="690">
        <f>huishoudens!H8</f>
        <v>0</v>
      </c>
      <c r="J11" s="690">
        <f>huishoudens!I8</f>
        <v>0</v>
      </c>
      <c r="K11" s="690">
        <f>huishoudens!J8</f>
        <v>0</v>
      </c>
      <c r="L11" s="690">
        <f>huishoudens!K8</f>
        <v>0</v>
      </c>
      <c r="M11" s="690">
        <f>huishoudens!L8</f>
        <v>0</v>
      </c>
      <c r="N11" s="690">
        <f>huishoudens!M8</f>
        <v>0</v>
      </c>
      <c r="O11" s="690">
        <f>huishoudens!N8</f>
        <v>9213.4824371953837</v>
      </c>
      <c r="P11" s="690">
        <f>huishoudens!O8</f>
        <v>136.01000000000002</v>
      </c>
      <c r="Q11" s="691">
        <f>huishoudens!P8</f>
        <v>152.53333333333333</v>
      </c>
      <c r="R11" s="693">
        <f>SUM(C11:Q11)</f>
        <v>88244.39763889258</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1072.9319760239766</v>
      </c>
      <c r="D13" s="690">
        <f>industrie!C18</f>
        <v>0</v>
      </c>
      <c r="E13" s="690">
        <f>industrie!D18</f>
        <v>1049.3597804178471</v>
      </c>
      <c r="F13" s="690">
        <f>industrie!E18</f>
        <v>210.41461280963537</v>
      </c>
      <c r="G13" s="690">
        <f>industrie!F18</f>
        <v>862.84480752413617</v>
      </c>
      <c r="H13" s="690">
        <f>industrie!G18</f>
        <v>0</v>
      </c>
      <c r="I13" s="690">
        <f>industrie!H18</f>
        <v>0</v>
      </c>
      <c r="J13" s="690">
        <f>industrie!I18</f>
        <v>0</v>
      </c>
      <c r="K13" s="690">
        <f>industrie!J18</f>
        <v>0.29714895139828651</v>
      </c>
      <c r="L13" s="690">
        <f>industrie!K18</f>
        <v>0</v>
      </c>
      <c r="M13" s="690">
        <f>industrie!L18</f>
        <v>0</v>
      </c>
      <c r="N13" s="690">
        <f>industrie!M18</f>
        <v>0</v>
      </c>
      <c r="O13" s="690">
        <f>industrie!N18</f>
        <v>312.99669322504906</v>
      </c>
      <c r="P13" s="690">
        <f>industrie!O18</f>
        <v>0</v>
      </c>
      <c r="Q13" s="691">
        <f>industrie!P18</f>
        <v>0</v>
      </c>
      <c r="R13" s="693">
        <f>SUM(C13:Q13)</f>
        <v>3508.8450189520431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32961.844424529052</v>
      </c>
      <c r="D16" s="725">
        <f t="shared" ref="D16:R16" ca="1" si="0">SUM(D9:D15)</f>
        <v>0</v>
      </c>
      <c r="E16" s="725">
        <f t="shared" ca="1" si="0"/>
        <v>49915.79265496102</v>
      </c>
      <c r="F16" s="725">
        <f t="shared" si="0"/>
        <v>3873.8490788614554</v>
      </c>
      <c r="G16" s="725">
        <f t="shared" ca="1" si="0"/>
        <v>29831.692753310213</v>
      </c>
      <c r="H16" s="725">
        <f t="shared" si="0"/>
        <v>0</v>
      </c>
      <c r="I16" s="725">
        <f t="shared" si="0"/>
        <v>0</v>
      </c>
      <c r="J16" s="725">
        <f t="shared" si="0"/>
        <v>0</v>
      </c>
      <c r="K16" s="725">
        <f t="shared" si="0"/>
        <v>0.29714895139828651</v>
      </c>
      <c r="L16" s="725">
        <f t="shared" si="0"/>
        <v>0</v>
      </c>
      <c r="M16" s="725">
        <f t="shared" ca="1" si="0"/>
        <v>0</v>
      </c>
      <c r="N16" s="725">
        <f t="shared" si="0"/>
        <v>0</v>
      </c>
      <c r="O16" s="725">
        <f t="shared" ca="1" si="0"/>
        <v>10357.356131840832</v>
      </c>
      <c r="P16" s="725">
        <f t="shared" si="0"/>
        <v>140.70000000000002</v>
      </c>
      <c r="Q16" s="725">
        <f t="shared" si="0"/>
        <v>209.73333333333335</v>
      </c>
      <c r="R16" s="725">
        <f t="shared" ca="1" si="0"/>
        <v>127291.26552578731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2354.1119048270621</v>
      </c>
      <c r="I19" s="690">
        <f>transport!H54</f>
        <v>0</v>
      </c>
      <c r="J19" s="690">
        <f>transport!I54</f>
        <v>0</v>
      </c>
      <c r="K19" s="690">
        <f>transport!J54</f>
        <v>0</v>
      </c>
      <c r="L19" s="690">
        <f>transport!K54</f>
        <v>0</v>
      </c>
      <c r="M19" s="690">
        <f>transport!L54</f>
        <v>0</v>
      </c>
      <c r="N19" s="690">
        <f>transport!M54</f>
        <v>104.69311436852398</v>
      </c>
      <c r="O19" s="690">
        <f>transport!N54</f>
        <v>0</v>
      </c>
      <c r="P19" s="690">
        <f>transport!O54</f>
        <v>0</v>
      </c>
      <c r="Q19" s="691">
        <f>transport!P54</f>
        <v>0</v>
      </c>
      <c r="R19" s="693">
        <f>SUM(C19:Q19)</f>
        <v>2458.8050191955858</v>
      </c>
      <c r="S19" s="67"/>
    </row>
    <row r="20" spans="1:19" s="458" customFormat="1">
      <c r="A20" s="805" t="s">
        <v>307</v>
      </c>
      <c r="B20" s="810"/>
      <c r="C20" s="690">
        <f>transport!B14</f>
        <v>7.2208399606116531</v>
      </c>
      <c r="D20" s="690">
        <f>transport!C14</f>
        <v>0</v>
      </c>
      <c r="E20" s="690">
        <f>transport!D14</f>
        <v>11.812025636176433</v>
      </c>
      <c r="F20" s="690">
        <f>transport!E14</f>
        <v>422.39505088922959</v>
      </c>
      <c r="G20" s="690">
        <f>transport!F14</f>
        <v>0</v>
      </c>
      <c r="H20" s="690">
        <f>transport!G14</f>
        <v>96933.085610480644</v>
      </c>
      <c r="I20" s="690">
        <f>transport!H14</f>
        <v>18202.37653132786</v>
      </c>
      <c r="J20" s="690">
        <f>transport!I14</f>
        <v>0</v>
      </c>
      <c r="K20" s="690">
        <f>transport!J14</f>
        <v>0</v>
      </c>
      <c r="L20" s="690">
        <f>transport!K14</f>
        <v>0</v>
      </c>
      <c r="M20" s="690">
        <f>transport!L14</f>
        <v>0</v>
      </c>
      <c r="N20" s="690">
        <f>transport!M14</f>
        <v>5205.2500814018958</v>
      </c>
      <c r="O20" s="690">
        <f>transport!N14</f>
        <v>0</v>
      </c>
      <c r="P20" s="690">
        <f>transport!O14</f>
        <v>0</v>
      </c>
      <c r="Q20" s="691">
        <f>transport!P14</f>
        <v>0</v>
      </c>
      <c r="R20" s="693">
        <f>SUM(C20:Q20)</f>
        <v>120782.14013969642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7.2208399606116531</v>
      </c>
      <c r="D22" s="808">
        <f t="shared" ref="D22:R22" si="1">SUM(D18:D21)</f>
        <v>0</v>
      </c>
      <c r="E22" s="808">
        <f t="shared" si="1"/>
        <v>11.812025636176433</v>
      </c>
      <c r="F22" s="808">
        <f t="shared" si="1"/>
        <v>422.39505088922959</v>
      </c>
      <c r="G22" s="808">
        <f t="shared" si="1"/>
        <v>0</v>
      </c>
      <c r="H22" s="808">
        <f t="shared" si="1"/>
        <v>99287.197515307707</v>
      </c>
      <c r="I22" s="808">
        <f t="shared" si="1"/>
        <v>18202.37653132786</v>
      </c>
      <c r="J22" s="808">
        <f t="shared" si="1"/>
        <v>0</v>
      </c>
      <c r="K22" s="808">
        <f t="shared" si="1"/>
        <v>0</v>
      </c>
      <c r="L22" s="808">
        <f t="shared" si="1"/>
        <v>0</v>
      </c>
      <c r="M22" s="808">
        <f t="shared" si="1"/>
        <v>0</v>
      </c>
      <c r="N22" s="808">
        <f t="shared" si="1"/>
        <v>5309.9431957704201</v>
      </c>
      <c r="O22" s="808">
        <f t="shared" si="1"/>
        <v>0</v>
      </c>
      <c r="P22" s="808">
        <f t="shared" si="1"/>
        <v>0</v>
      </c>
      <c r="Q22" s="808">
        <f t="shared" si="1"/>
        <v>0</v>
      </c>
      <c r="R22" s="808">
        <f t="shared" si="1"/>
        <v>123240.94515889201</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622.60947424071867</v>
      </c>
      <c r="D24" s="690">
        <f>+landbouw!C8</f>
        <v>22.5</v>
      </c>
      <c r="E24" s="690">
        <f>+landbouw!D8</f>
        <v>72.33237184588026</v>
      </c>
      <c r="F24" s="690">
        <f>+landbouw!E8</f>
        <v>7.8456814595160749</v>
      </c>
      <c r="G24" s="690">
        <f>+landbouw!F8</f>
        <v>2148.158659123545</v>
      </c>
      <c r="H24" s="690">
        <f>+landbouw!G8</f>
        <v>0</v>
      </c>
      <c r="I24" s="690">
        <f>+landbouw!H8</f>
        <v>0</v>
      </c>
      <c r="J24" s="690">
        <f>+landbouw!I8</f>
        <v>0</v>
      </c>
      <c r="K24" s="690">
        <f>+landbouw!J8</f>
        <v>93.633387351091784</v>
      </c>
      <c r="L24" s="690">
        <f>+landbouw!K8</f>
        <v>0</v>
      </c>
      <c r="M24" s="690">
        <f>+landbouw!L8</f>
        <v>0</v>
      </c>
      <c r="N24" s="690">
        <f>+landbouw!M8</f>
        <v>0</v>
      </c>
      <c r="O24" s="690">
        <f>+landbouw!N8</f>
        <v>0</v>
      </c>
      <c r="P24" s="690">
        <f>+landbouw!O8</f>
        <v>0</v>
      </c>
      <c r="Q24" s="691">
        <f>+landbouw!P8</f>
        <v>0</v>
      </c>
      <c r="R24" s="693">
        <f>SUM(C24:Q24)</f>
        <v>2967.0795740207518</v>
      </c>
      <c r="S24" s="67"/>
    </row>
    <row r="25" spans="1:19" s="458" customFormat="1" ht="15" thickBot="1">
      <c r="A25" s="827" t="s">
        <v>872</v>
      </c>
      <c r="B25" s="1004"/>
      <c r="C25" s="1005">
        <f>IF(Onbekend_ele_kWh="---",0,Onbekend_ele_kWh)/1000+IF(REST_rest_ele_kWh="---",0,REST_rest_ele_kWh)/1000</f>
        <v>385.02843364066001</v>
      </c>
      <c r="D25" s="1005"/>
      <c r="E25" s="1005">
        <f>IF(onbekend_gas_kWh="---",0,onbekend_gas_kWh)/1000+IF(REST_rest_gas_kWh="---",0,REST_rest_gas_kWh)/1000</f>
        <v>879.80820819621806</v>
      </c>
      <c r="F25" s="1005"/>
      <c r="G25" s="1005"/>
      <c r="H25" s="1005"/>
      <c r="I25" s="1005"/>
      <c r="J25" s="1005"/>
      <c r="K25" s="1005"/>
      <c r="L25" s="1005"/>
      <c r="M25" s="1005"/>
      <c r="N25" s="1005"/>
      <c r="O25" s="1005"/>
      <c r="P25" s="1005"/>
      <c r="Q25" s="1006"/>
      <c r="R25" s="693">
        <f>SUM(C25:Q25)</f>
        <v>1264.836641836878</v>
      </c>
      <c r="S25" s="67"/>
    </row>
    <row r="26" spans="1:19" s="458" customFormat="1" ht="15.75" thickBot="1">
      <c r="A26" s="698" t="s">
        <v>873</v>
      </c>
      <c r="B26" s="813"/>
      <c r="C26" s="808">
        <f>SUM(C24:C25)</f>
        <v>1007.6379078813786</v>
      </c>
      <c r="D26" s="808">
        <f t="shared" ref="D26:R26" si="2">SUM(D24:D25)</f>
        <v>22.5</v>
      </c>
      <c r="E26" s="808">
        <f t="shared" si="2"/>
        <v>952.14058004209835</v>
      </c>
      <c r="F26" s="808">
        <f t="shared" si="2"/>
        <v>7.8456814595160749</v>
      </c>
      <c r="G26" s="808">
        <f t="shared" si="2"/>
        <v>2148.158659123545</v>
      </c>
      <c r="H26" s="808">
        <f t="shared" si="2"/>
        <v>0</v>
      </c>
      <c r="I26" s="808">
        <f t="shared" si="2"/>
        <v>0</v>
      </c>
      <c r="J26" s="808">
        <f t="shared" si="2"/>
        <v>0</v>
      </c>
      <c r="K26" s="808">
        <f t="shared" si="2"/>
        <v>93.633387351091784</v>
      </c>
      <c r="L26" s="808">
        <f t="shared" si="2"/>
        <v>0</v>
      </c>
      <c r="M26" s="808">
        <f t="shared" si="2"/>
        <v>0</v>
      </c>
      <c r="N26" s="808">
        <f t="shared" si="2"/>
        <v>0</v>
      </c>
      <c r="O26" s="808">
        <f t="shared" si="2"/>
        <v>0</v>
      </c>
      <c r="P26" s="808">
        <f t="shared" si="2"/>
        <v>0</v>
      </c>
      <c r="Q26" s="808">
        <f t="shared" si="2"/>
        <v>0</v>
      </c>
      <c r="R26" s="808">
        <f t="shared" si="2"/>
        <v>4231.91621585763</v>
      </c>
      <c r="S26" s="67"/>
    </row>
    <row r="27" spans="1:19" s="458" customFormat="1" ht="17.25" thickTop="1" thickBot="1">
      <c r="A27" s="699" t="s">
        <v>116</v>
      </c>
      <c r="B27" s="800"/>
      <c r="C27" s="700">
        <f ca="1">C22+C16+C26</f>
        <v>33976.703172371039</v>
      </c>
      <c r="D27" s="700">
        <f t="shared" ref="D27:R27" ca="1" si="3">D22+D16+D26</f>
        <v>22.5</v>
      </c>
      <c r="E27" s="700">
        <f t="shared" ca="1" si="3"/>
        <v>50879.745260639298</v>
      </c>
      <c r="F27" s="700">
        <f t="shared" si="3"/>
        <v>4304.0898112102013</v>
      </c>
      <c r="G27" s="700">
        <f t="shared" ca="1" si="3"/>
        <v>31979.85141243376</v>
      </c>
      <c r="H27" s="700">
        <f t="shared" si="3"/>
        <v>99287.197515307707</v>
      </c>
      <c r="I27" s="700">
        <f t="shared" si="3"/>
        <v>18202.37653132786</v>
      </c>
      <c r="J27" s="700">
        <f t="shared" si="3"/>
        <v>0</v>
      </c>
      <c r="K27" s="700">
        <f t="shared" si="3"/>
        <v>93.930536302490069</v>
      </c>
      <c r="L27" s="700">
        <f t="shared" si="3"/>
        <v>0</v>
      </c>
      <c r="M27" s="700">
        <f t="shared" ca="1" si="3"/>
        <v>0</v>
      </c>
      <c r="N27" s="700">
        <f t="shared" si="3"/>
        <v>5309.9431957704201</v>
      </c>
      <c r="O27" s="700">
        <f t="shared" ca="1" si="3"/>
        <v>10357.356131840832</v>
      </c>
      <c r="P27" s="700">
        <f t="shared" si="3"/>
        <v>140.70000000000002</v>
      </c>
      <c r="Q27" s="700">
        <f t="shared" si="3"/>
        <v>209.73333333333335</v>
      </c>
      <c r="R27" s="700">
        <f t="shared" ca="1" si="3"/>
        <v>254764.12690053697</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2856.7166733336639</v>
      </c>
      <c r="D40" s="690">
        <f ca="1">tertiair!C20</f>
        <v>0</v>
      </c>
      <c r="E40" s="690">
        <f ca="1">tertiair!D20</f>
        <v>3596.2114996659052</v>
      </c>
      <c r="F40" s="690">
        <f>tertiair!E20</f>
        <v>55.415447412021507</v>
      </c>
      <c r="G40" s="690">
        <f ca="1">tertiair!F20</f>
        <v>721.79882991179568</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7230.1424503233866</v>
      </c>
    </row>
    <row r="41" spans="1:18">
      <c r="A41" s="818" t="s">
        <v>225</v>
      </c>
      <c r="B41" s="825"/>
      <c r="C41" s="690">
        <f ca="1">huishoudens!B12</f>
        <v>3699.5470073784732</v>
      </c>
      <c r="D41" s="690">
        <f ca="1">huishoudens!C12</f>
        <v>0</v>
      </c>
      <c r="E41" s="690">
        <f>huishoudens!D12</f>
        <v>6274.8079409918155</v>
      </c>
      <c r="F41" s="690">
        <f>huishoudens!E12</f>
        <v>776.18417638174162</v>
      </c>
      <c r="G41" s="690">
        <f>huishoudens!F12</f>
        <v>7012.883571613087</v>
      </c>
      <c r="H41" s="690">
        <f>huishoudens!G12</f>
        <v>0</v>
      </c>
      <c r="I41" s="690">
        <f>huishoudens!H12</f>
        <v>0</v>
      </c>
      <c r="J41" s="690">
        <f>huishoudens!I12</f>
        <v>0</v>
      </c>
      <c r="K41" s="690">
        <f>huishoudens!J12</f>
        <v>0</v>
      </c>
      <c r="L41" s="690">
        <f>huishoudens!K12</f>
        <v>0</v>
      </c>
      <c r="M41" s="690">
        <f>huishoudens!L12</f>
        <v>0</v>
      </c>
      <c r="N41" s="690">
        <f>huishoudens!M12</f>
        <v>0</v>
      </c>
      <c r="O41" s="690">
        <f>huishoudens!N12</f>
        <v>0</v>
      </c>
      <c r="P41" s="690">
        <f>huishoudens!O12</f>
        <v>0</v>
      </c>
      <c r="Q41" s="767">
        <f>huishoudens!P12</f>
        <v>0</v>
      </c>
      <c r="R41" s="846">
        <f t="shared" ca="1" si="4"/>
        <v>17763.422696365116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220.59156008032724</v>
      </c>
      <c r="D43" s="690">
        <f ca="1">industrie!C22</f>
        <v>0</v>
      </c>
      <c r="E43" s="690">
        <f>industrie!D22</f>
        <v>211.97067564440513</v>
      </c>
      <c r="F43" s="690">
        <f>industrie!E22</f>
        <v>47.764117107787229</v>
      </c>
      <c r="G43" s="690">
        <f>industrie!F22</f>
        <v>230.37956360894438</v>
      </c>
      <c r="H43" s="690">
        <f>industrie!G22</f>
        <v>0</v>
      </c>
      <c r="I43" s="690">
        <f>industrie!H22</f>
        <v>0</v>
      </c>
      <c r="J43" s="690">
        <f>industrie!I22</f>
        <v>0</v>
      </c>
      <c r="K43" s="690">
        <f>industrie!J22</f>
        <v>0.10519072879499342</v>
      </c>
      <c r="L43" s="690">
        <f>industrie!K22</f>
        <v>0</v>
      </c>
      <c r="M43" s="690">
        <f>industrie!L22</f>
        <v>0</v>
      </c>
      <c r="N43" s="690">
        <f>industrie!M22</f>
        <v>0</v>
      </c>
      <c r="O43" s="690">
        <f>industrie!N22</f>
        <v>0</v>
      </c>
      <c r="P43" s="690">
        <f>industrie!O22</f>
        <v>0</v>
      </c>
      <c r="Q43" s="767">
        <f>industrie!P22</f>
        <v>0</v>
      </c>
      <c r="R43" s="845">
        <f t="shared" ca="1" si="4"/>
        <v>710.81110717025899</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6776.8552407924644</v>
      </c>
      <c r="D46" s="725">
        <f t="shared" ref="D46:Q46" ca="1" si="5">SUM(D39:D45)</f>
        <v>0</v>
      </c>
      <c r="E46" s="725">
        <f t="shared" ca="1" si="5"/>
        <v>10082.990116302126</v>
      </c>
      <c r="F46" s="725">
        <f t="shared" si="5"/>
        <v>879.36374090155039</v>
      </c>
      <c r="G46" s="725">
        <f t="shared" ca="1" si="5"/>
        <v>7965.0619651338275</v>
      </c>
      <c r="H46" s="725">
        <f t="shared" si="5"/>
        <v>0</v>
      </c>
      <c r="I46" s="725">
        <f t="shared" si="5"/>
        <v>0</v>
      </c>
      <c r="J46" s="725">
        <f t="shared" si="5"/>
        <v>0</v>
      </c>
      <c r="K46" s="725">
        <f t="shared" si="5"/>
        <v>0.10519072879499342</v>
      </c>
      <c r="L46" s="725">
        <f t="shared" si="5"/>
        <v>0</v>
      </c>
      <c r="M46" s="725">
        <f t="shared" ca="1" si="5"/>
        <v>0</v>
      </c>
      <c r="N46" s="725">
        <f t="shared" si="5"/>
        <v>0</v>
      </c>
      <c r="O46" s="725">
        <f t="shared" ca="1" si="5"/>
        <v>0</v>
      </c>
      <c r="P46" s="725">
        <f t="shared" si="5"/>
        <v>0</v>
      </c>
      <c r="Q46" s="725">
        <f t="shared" si="5"/>
        <v>0</v>
      </c>
      <c r="R46" s="725">
        <f ca="1">SUM(R39:R45)</f>
        <v>25704.376253858762</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628.5478785888256</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628.5478785888256</v>
      </c>
    </row>
    <row r="50" spans="1:18">
      <c r="A50" s="821" t="s">
        <v>307</v>
      </c>
      <c r="B50" s="831"/>
      <c r="C50" s="696">
        <f ca="1">transport!B18</f>
        <v>1.4845827951781521</v>
      </c>
      <c r="D50" s="696">
        <f>transport!C18</f>
        <v>0</v>
      </c>
      <c r="E50" s="696">
        <f>transport!D18</f>
        <v>2.3860291785076395</v>
      </c>
      <c r="F50" s="696">
        <f>transport!E18</f>
        <v>95.883676551855118</v>
      </c>
      <c r="G50" s="696">
        <f>transport!F18</f>
        <v>0</v>
      </c>
      <c r="H50" s="696">
        <f>transport!G18</f>
        <v>25881.133857998335</v>
      </c>
      <c r="I50" s="696">
        <f>transport!H18</f>
        <v>4532.3917563006371</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30513.279902824514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1.4845827951781521</v>
      </c>
      <c r="D52" s="725">
        <f t="shared" ref="D52:Q52" ca="1" si="6">SUM(D48:D51)</f>
        <v>0</v>
      </c>
      <c r="E52" s="725">
        <f t="shared" si="6"/>
        <v>2.3860291785076395</v>
      </c>
      <c r="F52" s="725">
        <f t="shared" si="6"/>
        <v>95.883676551855118</v>
      </c>
      <c r="G52" s="725">
        <f t="shared" si="6"/>
        <v>0</v>
      </c>
      <c r="H52" s="725">
        <f t="shared" si="6"/>
        <v>26509.681736587161</v>
      </c>
      <c r="I52" s="725">
        <f t="shared" si="6"/>
        <v>4532.3917563006371</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31141.82778141334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128.00661953659892</v>
      </c>
      <c r="D54" s="696">
        <f ca="1">+landbouw!C12</f>
        <v>5.0500000000000007</v>
      </c>
      <c r="E54" s="696">
        <f>+landbouw!D12</f>
        <v>14.611139112867814</v>
      </c>
      <c r="F54" s="696">
        <f>+landbouw!E12</f>
        <v>1.7809696913101491</v>
      </c>
      <c r="G54" s="696">
        <f>+landbouw!F12</f>
        <v>573.55836198598661</v>
      </c>
      <c r="H54" s="696">
        <f>+landbouw!G12</f>
        <v>0</v>
      </c>
      <c r="I54" s="696">
        <f>+landbouw!H12</f>
        <v>0</v>
      </c>
      <c r="J54" s="696">
        <f>+landbouw!I12</f>
        <v>0</v>
      </c>
      <c r="K54" s="696">
        <f>+landbouw!J12</f>
        <v>33.146219122286489</v>
      </c>
      <c r="L54" s="696">
        <f>+landbouw!K12</f>
        <v>0</v>
      </c>
      <c r="M54" s="696">
        <f>+landbouw!L12</f>
        <v>0</v>
      </c>
      <c r="N54" s="696">
        <f>+landbouw!M12</f>
        <v>0</v>
      </c>
      <c r="O54" s="696">
        <f>+landbouw!N12</f>
        <v>0</v>
      </c>
      <c r="P54" s="696">
        <f>+landbouw!O12</f>
        <v>0</v>
      </c>
      <c r="Q54" s="697">
        <f>+landbouw!P12</f>
        <v>0</v>
      </c>
      <c r="R54" s="724">
        <f ca="1">SUM(C54:Q54)</f>
        <v>756.15330944905008</v>
      </c>
    </row>
    <row r="55" spans="1:18" ht="15" thickBot="1">
      <c r="A55" s="821" t="s">
        <v>872</v>
      </c>
      <c r="B55" s="831"/>
      <c r="C55" s="696">
        <f ca="1">C25*'EF ele_warmte'!B12</f>
        <v>79.160678169759322</v>
      </c>
      <c r="D55" s="696"/>
      <c r="E55" s="696">
        <f>E25*EF_CO2_aardgas</f>
        <v>177.72125805563607</v>
      </c>
      <c r="F55" s="696"/>
      <c r="G55" s="696"/>
      <c r="H55" s="696"/>
      <c r="I55" s="696"/>
      <c r="J55" s="696"/>
      <c r="K55" s="696"/>
      <c r="L55" s="696"/>
      <c r="M55" s="696"/>
      <c r="N55" s="696"/>
      <c r="O55" s="696"/>
      <c r="P55" s="696"/>
      <c r="Q55" s="697"/>
      <c r="R55" s="724">
        <f ca="1">SUM(C55:Q55)</f>
        <v>256.88193622539541</v>
      </c>
    </row>
    <row r="56" spans="1:18" ht="15.75" thickBot="1">
      <c r="A56" s="819" t="s">
        <v>873</v>
      </c>
      <c r="B56" s="832"/>
      <c r="C56" s="725">
        <f ca="1">SUM(C54:C55)</f>
        <v>207.16729770635823</v>
      </c>
      <c r="D56" s="725">
        <f t="shared" ref="D56:Q56" ca="1" si="7">SUM(D54:D55)</f>
        <v>5.0500000000000007</v>
      </c>
      <c r="E56" s="725">
        <f t="shared" si="7"/>
        <v>192.33239716850389</v>
      </c>
      <c r="F56" s="725">
        <f t="shared" si="7"/>
        <v>1.7809696913101491</v>
      </c>
      <c r="G56" s="725">
        <f t="shared" si="7"/>
        <v>573.55836198598661</v>
      </c>
      <c r="H56" s="725">
        <f t="shared" si="7"/>
        <v>0</v>
      </c>
      <c r="I56" s="725">
        <f t="shared" si="7"/>
        <v>0</v>
      </c>
      <c r="J56" s="725">
        <f t="shared" si="7"/>
        <v>0</v>
      </c>
      <c r="K56" s="725">
        <f t="shared" si="7"/>
        <v>33.146219122286489</v>
      </c>
      <c r="L56" s="725">
        <f t="shared" si="7"/>
        <v>0</v>
      </c>
      <c r="M56" s="725">
        <f t="shared" si="7"/>
        <v>0</v>
      </c>
      <c r="N56" s="725">
        <f t="shared" si="7"/>
        <v>0</v>
      </c>
      <c r="O56" s="725">
        <f t="shared" si="7"/>
        <v>0</v>
      </c>
      <c r="P56" s="725">
        <f t="shared" si="7"/>
        <v>0</v>
      </c>
      <c r="Q56" s="726">
        <f t="shared" si="7"/>
        <v>0</v>
      </c>
      <c r="R56" s="727">
        <f ca="1">SUM(R54:R55)</f>
        <v>1013.0352456744455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6985.5071212940011</v>
      </c>
      <c r="D61" s="733">
        <f t="shared" ref="D61:Q61" ca="1" si="8">D46+D52+D56</f>
        <v>5.0500000000000007</v>
      </c>
      <c r="E61" s="733">
        <f t="shared" ca="1" si="8"/>
        <v>10277.708542649138</v>
      </c>
      <c r="F61" s="733">
        <f t="shared" si="8"/>
        <v>977.02838714471568</v>
      </c>
      <c r="G61" s="733">
        <f t="shared" ca="1" si="8"/>
        <v>8538.6203271198137</v>
      </c>
      <c r="H61" s="733">
        <f t="shared" si="8"/>
        <v>26509.681736587161</v>
      </c>
      <c r="I61" s="733">
        <f t="shared" si="8"/>
        <v>4532.3917563006371</v>
      </c>
      <c r="J61" s="733">
        <f t="shared" si="8"/>
        <v>0</v>
      </c>
      <c r="K61" s="733">
        <f t="shared" si="8"/>
        <v>33.251409851081483</v>
      </c>
      <c r="L61" s="733">
        <f t="shared" si="8"/>
        <v>0</v>
      </c>
      <c r="M61" s="733">
        <f t="shared" ca="1" si="8"/>
        <v>0</v>
      </c>
      <c r="N61" s="733">
        <f t="shared" si="8"/>
        <v>0</v>
      </c>
      <c r="O61" s="733">
        <f t="shared" ca="1" si="8"/>
        <v>0</v>
      </c>
      <c r="P61" s="733">
        <f t="shared" si="8"/>
        <v>0</v>
      </c>
      <c r="Q61" s="733">
        <f t="shared" si="8"/>
        <v>0</v>
      </c>
      <c r="R61" s="733">
        <f ca="1">R46+R52+R56</f>
        <v>57859.239280946545</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0.2055969670116326</v>
      </c>
      <c r="D63" s="776">
        <f t="shared" ca="1" si="9"/>
        <v>0.22444444444444447</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2368.1438000000003</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4.5</v>
      </c>
      <c r="D76" s="1021">
        <f>'lokale energieproductie'!C8</f>
        <v>5</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1.01</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2368.1438000000003</v>
      </c>
      <c r="C78" s="748">
        <f>SUM(C72:C77)</f>
        <v>4.5</v>
      </c>
      <c r="D78" s="749">
        <f t="shared" ref="D78:H78" si="10">SUM(D76:D77)</f>
        <v>5</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1.01</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22.5</v>
      </c>
      <c r="D87" s="770">
        <f>'lokale energieproductie'!C17</f>
        <v>25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5.0500000000000007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22.5</v>
      </c>
      <c r="D90" s="748">
        <f t="shared" ref="D90:H90" si="12">SUM(D87:D89)</f>
        <v>25</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5.0500000000000007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17994.171125925001</v>
      </c>
      <c r="C4" s="462">
        <f>huishoudens!C8</f>
        <v>0</v>
      </c>
      <c r="D4" s="462">
        <f>huishoudens!D8</f>
        <v>31063.405648474331</v>
      </c>
      <c r="E4" s="462">
        <f>huishoudens!E8</f>
        <v>3419.3135523424739</v>
      </c>
      <c r="F4" s="462">
        <f>huishoudens!F8</f>
        <v>26265.481541622048</v>
      </c>
      <c r="G4" s="462">
        <f>huishoudens!G8</f>
        <v>0</v>
      </c>
      <c r="H4" s="462">
        <f>huishoudens!H8</f>
        <v>0</v>
      </c>
      <c r="I4" s="462">
        <f>huishoudens!I8</f>
        <v>0</v>
      </c>
      <c r="J4" s="462">
        <f>huishoudens!J8</f>
        <v>0</v>
      </c>
      <c r="K4" s="462">
        <f>huishoudens!K8</f>
        <v>0</v>
      </c>
      <c r="L4" s="462">
        <f>huishoudens!L8</f>
        <v>0</v>
      </c>
      <c r="M4" s="462">
        <f>huishoudens!M8</f>
        <v>0</v>
      </c>
      <c r="N4" s="462">
        <f>huishoudens!N8</f>
        <v>9213.4824371953837</v>
      </c>
      <c r="O4" s="462">
        <f>huishoudens!O8</f>
        <v>136.01000000000002</v>
      </c>
      <c r="P4" s="463">
        <f>huishoudens!P8</f>
        <v>152.53333333333333</v>
      </c>
      <c r="Q4" s="464">
        <f>SUM(B4:P4)</f>
        <v>88244.39763889258</v>
      </c>
    </row>
    <row r="5" spans="1:17">
      <c r="A5" s="461" t="s">
        <v>156</v>
      </c>
      <c r="B5" s="462">
        <f ca="1">tertiair!B16</f>
        <v>13402.861322580078</v>
      </c>
      <c r="C5" s="462">
        <f ca="1">tertiair!C16</f>
        <v>0</v>
      </c>
      <c r="D5" s="462">
        <f ca="1">tertiair!D16</f>
        <v>17803.027226068836</v>
      </c>
      <c r="E5" s="462">
        <f>tertiair!E16</f>
        <v>244.12091370934584</v>
      </c>
      <c r="F5" s="462">
        <f ca="1">tertiair!F16</f>
        <v>2703.3664041640286</v>
      </c>
      <c r="G5" s="462">
        <f>tertiair!G16</f>
        <v>0</v>
      </c>
      <c r="H5" s="462">
        <f>tertiair!H16</f>
        <v>0</v>
      </c>
      <c r="I5" s="462">
        <f>tertiair!I16</f>
        <v>0</v>
      </c>
      <c r="J5" s="462">
        <f>tertiair!J16</f>
        <v>0</v>
      </c>
      <c r="K5" s="462">
        <f>tertiair!K16</f>
        <v>0</v>
      </c>
      <c r="L5" s="462">
        <f ca="1">tertiair!L16</f>
        <v>0</v>
      </c>
      <c r="M5" s="462">
        <f>tertiair!M16</f>
        <v>0</v>
      </c>
      <c r="N5" s="462">
        <f ca="1">tertiair!N16</f>
        <v>830.87700142039864</v>
      </c>
      <c r="O5" s="462">
        <f>tertiair!O16</f>
        <v>4.6900000000000004</v>
      </c>
      <c r="P5" s="463">
        <f>tertiair!P16</f>
        <v>57.2</v>
      </c>
      <c r="Q5" s="461">
        <f t="shared" ref="Q5:Q14" ca="1" si="0">SUM(B5:P5)</f>
        <v>35046.14286794269</v>
      </c>
    </row>
    <row r="6" spans="1:17">
      <c r="A6" s="461" t="s">
        <v>194</v>
      </c>
      <c r="B6" s="462">
        <f>'openbare verlichting'!B8</f>
        <v>491.88</v>
      </c>
      <c r="C6" s="462"/>
      <c r="D6" s="462"/>
      <c r="E6" s="462"/>
      <c r="F6" s="462"/>
      <c r="G6" s="462"/>
      <c r="H6" s="462"/>
      <c r="I6" s="462"/>
      <c r="J6" s="462"/>
      <c r="K6" s="462"/>
      <c r="L6" s="462"/>
      <c r="M6" s="462"/>
      <c r="N6" s="462"/>
      <c r="O6" s="462"/>
      <c r="P6" s="463"/>
      <c r="Q6" s="461">
        <f t="shared" si="0"/>
        <v>491.88</v>
      </c>
    </row>
    <row r="7" spans="1:17">
      <c r="A7" s="461" t="s">
        <v>112</v>
      </c>
      <c r="B7" s="462">
        <f>landbouw!B8</f>
        <v>622.60947424071867</v>
      </c>
      <c r="C7" s="462">
        <f>landbouw!C8</f>
        <v>22.5</v>
      </c>
      <c r="D7" s="462">
        <f>landbouw!D8</f>
        <v>72.33237184588026</v>
      </c>
      <c r="E7" s="462">
        <f>landbouw!E8</f>
        <v>7.8456814595160749</v>
      </c>
      <c r="F7" s="462">
        <f>landbouw!F8</f>
        <v>2148.158659123545</v>
      </c>
      <c r="G7" s="462">
        <f>landbouw!G8</f>
        <v>0</v>
      </c>
      <c r="H7" s="462">
        <f>landbouw!H8</f>
        <v>0</v>
      </c>
      <c r="I7" s="462">
        <f>landbouw!I8</f>
        <v>0</v>
      </c>
      <c r="J7" s="462">
        <f>landbouw!J8</f>
        <v>93.633387351091784</v>
      </c>
      <c r="K7" s="462">
        <f>landbouw!K8</f>
        <v>0</v>
      </c>
      <c r="L7" s="462">
        <f>landbouw!L8</f>
        <v>0</v>
      </c>
      <c r="M7" s="462">
        <f>landbouw!M8</f>
        <v>0</v>
      </c>
      <c r="N7" s="462">
        <f>landbouw!N8</f>
        <v>0</v>
      </c>
      <c r="O7" s="462">
        <f>landbouw!O8</f>
        <v>0</v>
      </c>
      <c r="P7" s="463">
        <f>landbouw!P8</f>
        <v>0</v>
      </c>
      <c r="Q7" s="461">
        <f t="shared" si="0"/>
        <v>2967.0795740207518</v>
      </c>
    </row>
    <row r="8" spans="1:17">
      <c r="A8" s="461" t="s">
        <v>657</v>
      </c>
      <c r="B8" s="462">
        <f>industrie!B18</f>
        <v>1072.9319760239766</v>
      </c>
      <c r="C8" s="462">
        <f>industrie!C18</f>
        <v>0</v>
      </c>
      <c r="D8" s="462">
        <f>industrie!D18</f>
        <v>1049.3597804178471</v>
      </c>
      <c r="E8" s="462">
        <f>industrie!E18</f>
        <v>210.41461280963537</v>
      </c>
      <c r="F8" s="462">
        <f>industrie!F18</f>
        <v>862.84480752413617</v>
      </c>
      <c r="G8" s="462">
        <f>industrie!G18</f>
        <v>0</v>
      </c>
      <c r="H8" s="462">
        <f>industrie!H18</f>
        <v>0</v>
      </c>
      <c r="I8" s="462">
        <f>industrie!I18</f>
        <v>0</v>
      </c>
      <c r="J8" s="462">
        <f>industrie!J18</f>
        <v>0.29714895139828651</v>
      </c>
      <c r="K8" s="462">
        <f>industrie!K18</f>
        <v>0</v>
      </c>
      <c r="L8" s="462">
        <f>industrie!L18</f>
        <v>0</v>
      </c>
      <c r="M8" s="462">
        <f>industrie!M18</f>
        <v>0</v>
      </c>
      <c r="N8" s="462">
        <f>industrie!N18</f>
        <v>312.99669322504906</v>
      </c>
      <c r="O8" s="462">
        <f>industrie!O18</f>
        <v>0</v>
      </c>
      <c r="P8" s="463">
        <f>industrie!P18</f>
        <v>0</v>
      </c>
      <c r="Q8" s="461">
        <f t="shared" si="0"/>
        <v>3508.8450189520431</v>
      </c>
    </row>
    <row r="9" spans="1:17" s="467" customFormat="1">
      <c r="A9" s="465" t="s">
        <v>574</v>
      </c>
      <c r="B9" s="466">
        <f>transport!B14</f>
        <v>7.2208399606116531</v>
      </c>
      <c r="C9" s="466">
        <f>transport!C14</f>
        <v>0</v>
      </c>
      <c r="D9" s="466">
        <f>transport!D14</f>
        <v>11.812025636176433</v>
      </c>
      <c r="E9" s="466">
        <f>transport!E14</f>
        <v>422.39505088922959</v>
      </c>
      <c r="F9" s="466">
        <f>transport!F14</f>
        <v>0</v>
      </c>
      <c r="G9" s="466">
        <f>transport!G14</f>
        <v>96933.085610480644</v>
      </c>
      <c r="H9" s="466">
        <f>transport!H14</f>
        <v>18202.37653132786</v>
      </c>
      <c r="I9" s="466">
        <f>transport!I14</f>
        <v>0</v>
      </c>
      <c r="J9" s="466">
        <f>transport!J14</f>
        <v>0</v>
      </c>
      <c r="K9" s="466">
        <f>transport!K14</f>
        <v>0</v>
      </c>
      <c r="L9" s="466">
        <f>transport!L14</f>
        <v>0</v>
      </c>
      <c r="M9" s="466">
        <f>transport!M14</f>
        <v>5205.2500814018958</v>
      </c>
      <c r="N9" s="466">
        <f>transport!N14</f>
        <v>0</v>
      </c>
      <c r="O9" s="466">
        <f>transport!O14</f>
        <v>0</v>
      </c>
      <c r="P9" s="466">
        <f>transport!P14</f>
        <v>0</v>
      </c>
      <c r="Q9" s="465">
        <f>SUM(B9:P9)</f>
        <v>120782.14013969642</v>
      </c>
    </row>
    <row r="10" spans="1:17">
      <c r="A10" s="461" t="s">
        <v>564</v>
      </c>
      <c r="B10" s="462">
        <f>transport!B54</f>
        <v>0</v>
      </c>
      <c r="C10" s="462">
        <f>transport!C54</f>
        <v>0</v>
      </c>
      <c r="D10" s="462">
        <f>transport!D54</f>
        <v>0</v>
      </c>
      <c r="E10" s="462">
        <f>transport!E54</f>
        <v>0</v>
      </c>
      <c r="F10" s="462">
        <f>transport!F54</f>
        <v>0</v>
      </c>
      <c r="G10" s="462">
        <f>transport!G54</f>
        <v>2354.1119048270621</v>
      </c>
      <c r="H10" s="462">
        <f>transport!H54</f>
        <v>0</v>
      </c>
      <c r="I10" s="462">
        <f>transport!I54</f>
        <v>0</v>
      </c>
      <c r="J10" s="462">
        <f>transport!J54</f>
        <v>0</v>
      </c>
      <c r="K10" s="462">
        <f>transport!K54</f>
        <v>0</v>
      </c>
      <c r="L10" s="462">
        <f>transport!L54</f>
        <v>0</v>
      </c>
      <c r="M10" s="462">
        <f>transport!M54</f>
        <v>104.69311436852398</v>
      </c>
      <c r="N10" s="462">
        <f>transport!N54</f>
        <v>0</v>
      </c>
      <c r="O10" s="462">
        <f>transport!O54</f>
        <v>0</v>
      </c>
      <c r="P10" s="463">
        <f>transport!P54</f>
        <v>0</v>
      </c>
      <c r="Q10" s="461">
        <f t="shared" si="0"/>
        <v>2458.8050191955858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385.02843364066001</v>
      </c>
      <c r="C14" s="469"/>
      <c r="D14" s="469">
        <f>'SEAP template'!E25</f>
        <v>879.80820819621806</v>
      </c>
      <c r="E14" s="469"/>
      <c r="F14" s="469"/>
      <c r="G14" s="469"/>
      <c r="H14" s="469"/>
      <c r="I14" s="469"/>
      <c r="J14" s="469"/>
      <c r="K14" s="469"/>
      <c r="L14" s="469"/>
      <c r="M14" s="469"/>
      <c r="N14" s="469"/>
      <c r="O14" s="469"/>
      <c r="P14" s="470"/>
      <c r="Q14" s="461">
        <f t="shared" si="0"/>
        <v>1264.836641836878</v>
      </c>
    </row>
    <row r="15" spans="1:17" s="474" customFormat="1">
      <c r="A15" s="471" t="s">
        <v>568</v>
      </c>
      <c r="B15" s="472">
        <f ca="1">SUM(B4:B14)</f>
        <v>33976.703172371046</v>
      </c>
      <c r="C15" s="472">
        <f t="shared" ref="C15:Q15" ca="1" si="1">SUM(C4:C14)</f>
        <v>22.5</v>
      </c>
      <c r="D15" s="472">
        <f t="shared" ca="1" si="1"/>
        <v>50879.745260639298</v>
      </c>
      <c r="E15" s="472">
        <f t="shared" si="1"/>
        <v>4304.0898112102013</v>
      </c>
      <c r="F15" s="472">
        <f t="shared" ca="1" si="1"/>
        <v>31979.85141243376</v>
      </c>
      <c r="G15" s="472">
        <f t="shared" si="1"/>
        <v>99287.197515307707</v>
      </c>
      <c r="H15" s="472">
        <f t="shared" si="1"/>
        <v>18202.37653132786</v>
      </c>
      <c r="I15" s="472">
        <f t="shared" si="1"/>
        <v>0</v>
      </c>
      <c r="J15" s="472">
        <f t="shared" si="1"/>
        <v>93.930536302490069</v>
      </c>
      <c r="K15" s="472">
        <f t="shared" si="1"/>
        <v>0</v>
      </c>
      <c r="L15" s="472">
        <f t="shared" ca="1" si="1"/>
        <v>0</v>
      </c>
      <c r="M15" s="472">
        <f t="shared" si="1"/>
        <v>5309.9431957704201</v>
      </c>
      <c r="N15" s="472">
        <f t="shared" ca="1" si="1"/>
        <v>10357.356131840832</v>
      </c>
      <c r="O15" s="472">
        <f t="shared" si="1"/>
        <v>140.70000000000002</v>
      </c>
      <c r="P15" s="472">
        <f t="shared" si="1"/>
        <v>209.73333333333335</v>
      </c>
      <c r="Q15" s="472">
        <f t="shared" ca="1" si="1"/>
        <v>254764.12690053697</v>
      </c>
    </row>
    <row r="17" spans="1:17">
      <c r="A17" s="475" t="s">
        <v>569</v>
      </c>
      <c r="B17" s="781">
        <f ca="1">huishoudens!B10</f>
        <v>0.20559696701163255</v>
      </c>
      <c r="C17" s="781">
        <f ca="1">huishoudens!C10</f>
        <v>0.22444444444444447</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3699.5470073784732</v>
      </c>
      <c r="C22" s="462">
        <f t="shared" ref="C22:C32" ca="1" si="3">C4*$C$17</f>
        <v>0</v>
      </c>
      <c r="D22" s="462">
        <f t="shared" ref="D22:D32" si="4">D4*$D$17</f>
        <v>6274.8079409918155</v>
      </c>
      <c r="E22" s="462">
        <f t="shared" ref="E22:E32" si="5">E4*$E$17</f>
        <v>776.18417638174162</v>
      </c>
      <c r="F22" s="462">
        <f t="shared" ref="F22:F32" si="6">F4*$F$17</f>
        <v>7012.883571613087</v>
      </c>
      <c r="G22" s="462">
        <f t="shared" ref="G22:G32" si="7">G4*$G$17</f>
        <v>0</v>
      </c>
      <c r="H22" s="462">
        <f t="shared" ref="H22:H32" si="8">H4*$H$17</f>
        <v>0</v>
      </c>
      <c r="I22" s="462">
        <f t="shared" ref="I22:I32" si="9">I4*$I$17</f>
        <v>0</v>
      </c>
      <c r="J22" s="462">
        <f t="shared" ref="J22:J32" si="10">J4*$J$17</f>
        <v>0</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17763.422696365116</v>
      </c>
    </row>
    <row r="23" spans="1:17">
      <c r="A23" s="461" t="s">
        <v>156</v>
      </c>
      <c r="B23" s="462">
        <f t="shared" ca="1" si="2"/>
        <v>2755.5876371999821</v>
      </c>
      <c r="C23" s="462">
        <f t="shared" ca="1" si="3"/>
        <v>0</v>
      </c>
      <c r="D23" s="462">
        <f t="shared" ca="1" si="4"/>
        <v>3596.2114996659052</v>
      </c>
      <c r="E23" s="462">
        <f t="shared" si="5"/>
        <v>55.415447412021507</v>
      </c>
      <c r="F23" s="462">
        <f t="shared" ca="1" si="6"/>
        <v>721.79882991179568</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7129.0134141897051</v>
      </c>
    </row>
    <row r="24" spans="1:17">
      <c r="A24" s="461" t="s">
        <v>194</v>
      </c>
      <c r="B24" s="462">
        <f t="shared" ca="1" si="2"/>
        <v>101.12903613368182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101.12903613368182</v>
      </c>
    </row>
    <row r="25" spans="1:17">
      <c r="A25" s="461" t="s">
        <v>112</v>
      </c>
      <c r="B25" s="462">
        <f t="shared" ca="1" si="2"/>
        <v>128.00661953659892</v>
      </c>
      <c r="C25" s="462">
        <f t="shared" ca="1" si="3"/>
        <v>5.0500000000000007</v>
      </c>
      <c r="D25" s="462">
        <f t="shared" si="4"/>
        <v>14.611139112867814</v>
      </c>
      <c r="E25" s="462">
        <f t="shared" si="5"/>
        <v>1.7809696913101491</v>
      </c>
      <c r="F25" s="462">
        <f t="shared" si="6"/>
        <v>573.55836198598661</v>
      </c>
      <c r="G25" s="462">
        <f t="shared" si="7"/>
        <v>0</v>
      </c>
      <c r="H25" s="462">
        <f t="shared" si="8"/>
        <v>0</v>
      </c>
      <c r="I25" s="462">
        <f t="shared" si="9"/>
        <v>0</v>
      </c>
      <c r="J25" s="462">
        <f t="shared" si="10"/>
        <v>33.146219122286489</v>
      </c>
      <c r="K25" s="462">
        <f t="shared" si="11"/>
        <v>0</v>
      </c>
      <c r="L25" s="462">
        <f t="shared" si="12"/>
        <v>0</v>
      </c>
      <c r="M25" s="462">
        <f t="shared" si="13"/>
        <v>0</v>
      </c>
      <c r="N25" s="462">
        <f t="shared" si="14"/>
        <v>0</v>
      </c>
      <c r="O25" s="462">
        <f t="shared" si="15"/>
        <v>0</v>
      </c>
      <c r="P25" s="463">
        <f t="shared" si="16"/>
        <v>0</v>
      </c>
      <c r="Q25" s="461">
        <f t="shared" ca="1" si="17"/>
        <v>756.15330944905008</v>
      </c>
    </row>
    <row r="26" spans="1:17">
      <c r="A26" s="461" t="s">
        <v>657</v>
      </c>
      <c r="B26" s="462">
        <f t="shared" ca="1" si="2"/>
        <v>220.59156008032724</v>
      </c>
      <c r="C26" s="462">
        <f t="shared" ca="1" si="3"/>
        <v>0</v>
      </c>
      <c r="D26" s="462">
        <f t="shared" si="4"/>
        <v>211.97067564440513</v>
      </c>
      <c r="E26" s="462">
        <f t="shared" si="5"/>
        <v>47.764117107787229</v>
      </c>
      <c r="F26" s="462">
        <f t="shared" si="6"/>
        <v>230.37956360894438</v>
      </c>
      <c r="G26" s="462">
        <f t="shared" si="7"/>
        <v>0</v>
      </c>
      <c r="H26" s="462">
        <f t="shared" si="8"/>
        <v>0</v>
      </c>
      <c r="I26" s="462">
        <f t="shared" si="9"/>
        <v>0</v>
      </c>
      <c r="J26" s="462">
        <f t="shared" si="10"/>
        <v>0.10519072879499342</v>
      </c>
      <c r="K26" s="462">
        <f t="shared" si="11"/>
        <v>0</v>
      </c>
      <c r="L26" s="462">
        <f t="shared" si="12"/>
        <v>0</v>
      </c>
      <c r="M26" s="462">
        <f t="shared" si="13"/>
        <v>0</v>
      </c>
      <c r="N26" s="462">
        <f t="shared" si="14"/>
        <v>0</v>
      </c>
      <c r="O26" s="462">
        <f t="shared" si="15"/>
        <v>0</v>
      </c>
      <c r="P26" s="463">
        <f t="shared" si="16"/>
        <v>0</v>
      </c>
      <c r="Q26" s="461">
        <f t="shared" ca="1" si="17"/>
        <v>710.81110717025899</v>
      </c>
    </row>
    <row r="27" spans="1:17" s="467" customFormat="1">
      <c r="A27" s="465" t="s">
        <v>574</v>
      </c>
      <c r="B27" s="775">
        <f t="shared" ca="1" si="2"/>
        <v>1.4845827951781521</v>
      </c>
      <c r="C27" s="466">
        <f t="shared" ca="1" si="3"/>
        <v>0</v>
      </c>
      <c r="D27" s="466">
        <f t="shared" si="4"/>
        <v>2.3860291785076395</v>
      </c>
      <c r="E27" s="466">
        <f t="shared" si="5"/>
        <v>95.883676551855118</v>
      </c>
      <c r="F27" s="466">
        <f t="shared" si="6"/>
        <v>0</v>
      </c>
      <c r="G27" s="466">
        <f t="shared" si="7"/>
        <v>25881.133857998335</v>
      </c>
      <c r="H27" s="466">
        <f t="shared" si="8"/>
        <v>4532.3917563006371</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30513.279902824514</v>
      </c>
    </row>
    <row r="28" spans="1:17">
      <c r="A28" s="461" t="s">
        <v>564</v>
      </c>
      <c r="B28" s="462">
        <f t="shared" ca="1" si="2"/>
        <v>0</v>
      </c>
      <c r="C28" s="462">
        <f t="shared" ca="1" si="3"/>
        <v>0</v>
      </c>
      <c r="D28" s="462">
        <f t="shared" si="4"/>
        <v>0</v>
      </c>
      <c r="E28" s="462">
        <f t="shared" si="5"/>
        <v>0</v>
      </c>
      <c r="F28" s="462">
        <f t="shared" si="6"/>
        <v>0</v>
      </c>
      <c r="G28" s="462">
        <f t="shared" si="7"/>
        <v>628.5478785888256</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628.5478785888256</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79.160678169759322</v>
      </c>
      <c r="C32" s="462">
        <f t="shared" ca="1" si="3"/>
        <v>0</v>
      </c>
      <c r="D32" s="462">
        <f t="shared" si="4"/>
        <v>177.72125805563607</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256.88193622539541</v>
      </c>
    </row>
    <row r="33" spans="1:17" s="474" customFormat="1">
      <c r="A33" s="471" t="s">
        <v>568</v>
      </c>
      <c r="B33" s="472">
        <f ca="1">SUM(B22:B32)</f>
        <v>6985.5071212940002</v>
      </c>
      <c r="C33" s="472">
        <f t="shared" ref="C33:Q33" ca="1" si="18">SUM(C22:C32)</f>
        <v>5.0500000000000007</v>
      </c>
      <c r="D33" s="472">
        <f t="shared" ca="1" si="18"/>
        <v>10277.708542649136</v>
      </c>
      <c r="E33" s="472">
        <f t="shared" si="18"/>
        <v>977.02838714471568</v>
      </c>
      <c r="F33" s="472">
        <f t="shared" ca="1" si="18"/>
        <v>8538.6203271198137</v>
      </c>
      <c r="G33" s="472">
        <f t="shared" si="18"/>
        <v>26509.681736587161</v>
      </c>
      <c r="H33" s="472">
        <f t="shared" si="18"/>
        <v>4532.3917563006371</v>
      </c>
      <c r="I33" s="472">
        <f t="shared" si="18"/>
        <v>0</v>
      </c>
      <c r="J33" s="472">
        <f t="shared" si="18"/>
        <v>33.251409851081483</v>
      </c>
      <c r="K33" s="472">
        <f t="shared" si="18"/>
        <v>0</v>
      </c>
      <c r="L33" s="472">
        <f t="shared" ca="1" si="18"/>
        <v>0</v>
      </c>
      <c r="M33" s="472">
        <f t="shared" si="18"/>
        <v>0</v>
      </c>
      <c r="N33" s="472">
        <f t="shared" ca="1" si="18"/>
        <v>0</v>
      </c>
      <c r="O33" s="472">
        <f t="shared" si="18"/>
        <v>0</v>
      </c>
      <c r="P33" s="472">
        <f t="shared" si="18"/>
        <v>0</v>
      </c>
      <c r="Q33" s="472">
        <f t="shared" ca="1" si="18"/>
        <v>57859.239280946545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2368.1438000000003</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4.5</v>
      </c>
      <c r="D8" s="1047">
        <f>'SEAP template'!D76</f>
        <v>5</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1.01</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2368.1438000000003</v>
      </c>
      <c r="C10" s="1051">
        <f>SUM(C4:C9)</f>
        <v>4.5</v>
      </c>
      <c r="D10" s="1051">
        <f t="shared" ref="D10:H10" si="0">SUM(D8:D9)</f>
        <v>5</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1.01</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0.20559696701163255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22.5</v>
      </c>
      <c r="D17" s="1048">
        <f>'SEAP template'!D87</f>
        <v>25</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5.0500000000000007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22.5</v>
      </c>
      <c r="D20" s="1051">
        <f t="shared" ref="D20:H20" si="2">SUM(D17:D19)</f>
        <v>25</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5.0500000000000007</v>
      </c>
    </row>
    <row r="22" spans="1:16">
      <c r="A22" s="475" t="s">
        <v>895</v>
      </c>
      <c r="B22" s="781" t="s">
        <v>889</v>
      </c>
      <c r="C22" s="781">
        <f ca="1">'EF ele_warmte'!B22</f>
        <v>0.22444444444444447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0.20559696701163255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0.20559696701163255</v>
      </c>
      <c r="C17" s="512">
        <f ca="1">'EF ele_warmte'!B22</f>
        <v>0.22444444444444447</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0.20559696701163255</v>
      </c>
      <c r="C29" s="513">
        <f ca="1">'EF ele_warmte'!B22</f>
        <v>0.22444444444444447</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24011</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3716</v>
      </c>
      <c r="C9" s="338">
        <v>3708</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2047</v>
      </c>
    </row>
    <row r="15" spans="1:6">
      <c r="A15" s="1295" t="s">
        <v>184</v>
      </c>
      <c r="B15" s="335">
        <v>4</v>
      </c>
    </row>
    <row r="16" spans="1:6">
      <c r="A16" s="1295" t="s">
        <v>6</v>
      </c>
      <c r="B16" s="335">
        <v>74</v>
      </c>
    </row>
    <row r="17" spans="1:6">
      <c r="A17" s="1295" t="s">
        <v>7</v>
      </c>
      <c r="B17" s="335">
        <v>149</v>
      </c>
    </row>
    <row r="18" spans="1:6">
      <c r="A18" s="1295" t="s">
        <v>8</v>
      </c>
      <c r="B18" s="335">
        <v>180</v>
      </c>
    </row>
    <row r="19" spans="1:6">
      <c r="A19" s="1295" t="s">
        <v>9</v>
      </c>
      <c r="B19" s="335">
        <v>261</v>
      </c>
    </row>
    <row r="20" spans="1:6">
      <c r="A20" s="1295" t="s">
        <v>10</v>
      </c>
      <c r="B20" s="335">
        <v>103</v>
      </c>
    </row>
    <row r="21" spans="1:6">
      <c r="A21" s="1295" t="s">
        <v>11</v>
      </c>
      <c r="B21" s="335">
        <v>1193</v>
      </c>
    </row>
    <row r="22" spans="1:6">
      <c r="A22" s="1295" t="s">
        <v>12</v>
      </c>
      <c r="B22" s="335">
        <v>2960</v>
      </c>
    </row>
    <row r="23" spans="1:6">
      <c r="A23" s="1295" t="s">
        <v>13</v>
      </c>
      <c r="B23" s="335">
        <v>15</v>
      </c>
    </row>
    <row r="24" spans="1:6">
      <c r="A24" s="1295" t="s">
        <v>14</v>
      </c>
      <c r="B24" s="335">
        <v>3</v>
      </c>
    </row>
    <row r="25" spans="1:6">
      <c r="A25" s="1295" t="s">
        <v>15</v>
      </c>
      <c r="B25" s="335">
        <v>339</v>
      </c>
    </row>
    <row r="26" spans="1:6">
      <c r="A26" s="1295" t="s">
        <v>16</v>
      </c>
      <c r="B26" s="335">
        <v>914</v>
      </c>
    </row>
    <row r="27" spans="1:6">
      <c r="A27" s="1295" t="s">
        <v>17</v>
      </c>
      <c r="B27" s="335">
        <v>22</v>
      </c>
    </row>
    <row r="28" spans="1:6" s="341" customFormat="1">
      <c r="A28" s="1296" t="s">
        <v>18</v>
      </c>
      <c r="B28" s="1296">
        <v>12487</v>
      </c>
    </row>
    <row r="29" spans="1:6">
      <c r="A29" s="1296" t="s">
        <v>909</v>
      </c>
      <c r="B29" s="1296">
        <v>104</v>
      </c>
      <c r="C29" s="341"/>
      <c r="D29" s="341"/>
      <c r="E29" s="341"/>
      <c r="F29" s="341"/>
    </row>
    <row r="30" spans="1:6">
      <c r="A30" s="1291" t="s">
        <v>910</v>
      </c>
      <c r="B30" s="1291">
        <v>35</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0</v>
      </c>
      <c r="D38" s="335">
        <v>0</v>
      </c>
      <c r="E38" s="335">
        <v>1</v>
      </c>
      <c r="F38" s="335">
        <v>12784.2001811666</v>
      </c>
    </row>
    <row r="39" spans="1:6">
      <c r="A39" s="1295" t="s">
        <v>30</v>
      </c>
      <c r="B39" s="1295" t="s">
        <v>31</v>
      </c>
      <c r="C39" s="335">
        <v>1695</v>
      </c>
      <c r="D39" s="335">
        <v>34438365.463940501</v>
      </c>
      <c r="E39" s="335">
        <v>3461</v>
      </c>
      <c r="F39" s="335">
        <v>15878438.125925001</v>
      </c>
    </row>
    <row r="40" spans="1:6">
      <c r="A40" s="1295" t="s">
        <v>30</v>
      </c>
      <c r="B40" s="1295" t="s">
        <v>29</v>
      </c>
      <c r="C40" s="335">
        <v>0</v>
      </c>
      <c r="D40" s="335">
        <v>0</v>
      </c>
      <c r="E40" s="335">
        <v>0</v>
      </c>
      <c r="F40" s="335">
        <v>0</v>
      </c>
    </row>
    <row r="41" spans="1:6">
      <c r="A41" s="1295" t="s">
        <v>32</v>
      </c>
      <c r="B41" s="1295" t="s">
        <v>33</v>
      </c>
      <c r="C41" s="335">
        <v>14</v>
      </c>
      <c r="D41" s="335">
        <v>433468.00722155801</v>
      </c>
      <c r="E41" s="335">
        <v>62</v>
      </c>
      <c r="F41" s="335">
        <v>679536.28197854303</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4</v>
      </c>
      <c r="F44" s="335">
        <v>45035.554287182</v>
      </c>
    </row>
    <row r="45" spans="1:6">
      <c r="A45" s="1295" t="s">
        <v>32</v>
      </c>
      <c r="B45" s="1295" t="s">
        <v>37</v>
      </c>
      <c r="C45" s="335">
        <v>0</v>
      </c>
      <c r="D45" s="335">
        <v>0</v>
      </c>
      <c r="E45" s="335">
        <v>3</v>
      </c>
      <c r="F45" s="335">
        <v>14675.838349920101</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17</v>
      </c>
      <c r="D48" s="335">
        <v>729902.03758758504</v>
      </c>
      <c r="E48" s="335">
        <v>15</v>
      </c>
      <c r="F48" s="335">
        <v>83150.070567553499</v>
      </c>
    </row>
    <row r="49" spans="1:6">
      <c r="A49" s="1295" t="s">
        <v>32</v>
      </c>
      <c r="B49" s="1295" t="s">
        <v>40</v>
      </c>
      <c r="C49" s="335">
        <v>0</v>
      </c>
      <c r="D49" s="335">
        <v>0</v>
      </c>
      <c r="E49" s="335">
        <v>0</v>
      </c>
      <c r="F49" s="335">
        <v>0</v>
      </c>
    </row>
    <row r="50" spans="1:6">
      <c r="A50" s="1295" t="s">
        <v>32</v>
      </c>
      <c r="B50" s="1295" t="s">
        <v>41</v>
      </c>
      <c r="C50" s="335">
        <v>0</v>
      </c>
      <c r="D50" s="335">
        <v>0</v>
      </c>
      <c r="E50" s="335">
        <v>3</v>
      </c>
      <c r="F50" s="335">
        <v>250534.23084077801</v>
      </c>
    </row>
    <row r="51" spans="1:6">
      <c r="A51" s="1295" t="s">
        <v>42</v>
      </c>
      <c r="B51" s="1295" t="s">
        <v>43</v>
      </c>
      <c r="C51" s="335">
        <v>0</v>
      </c>
      <c r="D51" s="335">
        <v>0</v>
      </c>
      <c r="E51" s="335">
        <v>45</v>
      </c>
      <c r="F51" s="335">
        <v>594862.21462075098</v>
      </c>
    </row>
    <row r="52" spans="1:6">
      <c r="A52" s="1295" t="s">
        <v>42</v>
      </c>
      <c r="B52" s="1295" t="s">
        <v>29</v>
      </c>
      <c r="C52" s="335">
        <v>5</v>
      </c>
      <c r="D52" s="335">
        <v>113450.523110732</v>
      </c>
      <c r="E52" s="335">
        <v>4</v>
      </c>
      <c r="F52" s="335">
        <v>27747.259619967699</v>
      </c>
    </row>
    <row r="53" spans="1:6">
      <c r="A53" s="1295" t="s">
        <v>44</v>
      </c>
      <c r="B53" s="1295" t="s">
        <v>45</v>
      </c>
      <c r="C53" s="335">
        <v>35</v>
      </c>
      <c r="D53" s="335">
        <v>879808.20819621801</v>
      </c>
      <c r="E53" s="335">
        <v>83</v>
      </c>
      <c r="F53" s="335">
        <v>385028.43364066002</v>
      </c>
    </row>
    <row r="54" spans="1:6">
      <c r="A54" s="1295" t="s">
        <v>46</v>
      </c>
      <c r="B54" s="1295" t="s">
        <v>47</v>
      </c>
      <c r="C54" s="335">
        <v>0</v>
      </c>
      <c r="D54" s="335">
        <v>0</v>
      </c>
      <c r="E54" s="335">
        <v>1</v>
      </c>
      <c r="F54" s="335">
        <v>491880</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463967.21546853101</v>
      </c>
      <c r="E57" s="335">
        <v>34</v>
      </c>
      <c r="F57" s="335">
        <v>1089867.3799386199</v>
      </c>
    </row>
    <row r="58" spans="1:6">
      <c r="A58" s="1295" t="s">
        <v>49</v>
      </c>
      <c r="B58" s="1295" t="s">
        <v>51</v>
      </c>
      <c r="C58" s="335">
        <v>15</v>
      </c>
      <c r="D58" s="335">
        <v>3182299.8052899302</v>
      </c>
      <c r="E58" s="335">
        <v>31</v>
      </c>
      <c r="F58" s="335">
        <v>779985.05156089505</v>
      </c>
    </row>
    <row r="59" spans="1:6">
      <c r="A59" s="1295" t="s">
        <v>49</v>
      </c>
      <c r="B59" s="1295" t="s">
        <v>52</v>
      </c>
      <c r="C59" s="335">
        <v>13</v>
      </c>
      <c r="D59" s="335">
        <v>2078358.95695972</v>
      </c>
      <c r="E59" s="335">
        <v>84</v>
      </c>
      <c r="F59" s="335">
        <v>6160121.2382039903</v>
      </c>
    </row>
    <row r="60" spans="1:6">
      <c r="A60" s="1295" t="s">
        <v>49</v>
      </c>
      <c r="B60" s="1295" t="s">
        <v>53</v>
      </c>
      <c r="C60" s="335">
        <v>9</v>
      </c>
      <c r="D60" s="335">
        <v>760291.696751412</v>
      </c>
      <c r="E60" s="335">
        <v>35</v>
      </c>
      <c r="F60" s="335">
        <v>2369549.0959465699</v>
      </c>
    </row>
    <row r="61" spans="1:6">
      <c r="A61" s="1295" t="s">
        <v>49</v>
      </c>
      <c r="B61" s="1295" t="s">
        <v>54</v>
      </c>
      <c r="C61" s="335">
        <v>50</v>
      </c>
      <c r="D61" s="335">
        <v>3313121.1024565101</v>
      </c>
      <c r="E61" s="335">
        <v>175</v>
      </c>
      <c r="F61" s="335">
        <v>2381127.4616366802</v>
      </c>
    </row>
    <row r="62" spans="1:6">
      <c r="A62" s="1295" t="s">
        <v>49</v>
      </c>
      <c r="B62" s="1295" t="s">
        <v>55</v>
      </c>
      <c r="C62" s="335">
        <v>0</v>
      </c>
      <c r="D62" s="335">
        <v>0</v>
      </c>
      <c r="E62" s="335">
        <v>8</v>
      </c>
      <c r="F62" s="335">
        <v>70374.1961049612</v>
      </c>
    </row>
    <row r="63" spans="1:6">
      <c r="A63" s="1295" t="s">
        <v>49</v>
      </c>
      <c r="B63" s="1295" t="s">
        <v>29</v>
      </c>
      <c r="C63" s="335">
        <v>68</v>
      </c>
      <c r="D63" s="335">
        <v>9939241.9615094103</v>
      </c>
      <c r="E63" s="335">
        <v>61</v>
      </c>
      <c r="F63" s="335">
        <v>551836.89918836101</v>
      </c>
    </row>
    <row r="64" spans="1:6">
      <c r="A64" s="1295" t="s">
        <v>56</v>
      </c>
      <c r="B64" s="1295" t="s">
        <v>57</v>
      </c>
      <c r="C64" s="335">
        <v>0</v>
      </c>
      <c r="D64" s="335">
        <v>0</v>
      </c>
      <c r="E64" s="335">
        <v>0</v>
      </c>
      <c r="F64" s="335">
        <v>0</v>
      </c>
    </row>
    <row r="65" spans="1:6">
      <c r="A65" s="1295" t="s">
        <v>56</v>
      </c>
      <c r="B65" s="1295" t="s">
        <v>29</v>
      </c>
      <c r="C65" s="335">
        <v>1</v>
      </c>
      <c r="D65" s="335">
        <v>24387.821882886001</v>
      </c>
      <c r="E65" s="335">
        <v>1</v>
      </c>
      <c r="F65" s="335">
        <v>3326.6575463720001</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3</v>
      </c>
      <c r="F68" s="335">
        <v>32964.076755297603</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18436104</v>
      </c>
      <c r="E73" s="335">
        <v>31374785.57033015</v>
      </c>
    </row>
    <row r="74" spans="1:6">
      <c r="A74" s="1295" t="s">
        <v>64</v>
      </c>
      <c r="B74" s="1295" t="s">
        <v>727</v>
      </c>
      <c r="C74" s="1295" t="s">
        <v>728</v>
      </c>
      <c r="D74" s="335">
        <v>1037038.5174426392</v>
      </c>
      <c r="E74" s="335">
        <v>1703757.3215053622</v>
      </c>
    </row>
    <row r="75" spans="1:6">
      <c r="A75" s="1295" t="s">
        <v>65</v>
      </c>
      <c r="B75" s="1295" t="s">
        <v>725</v>
      </c>
      <c r="C75" s="1295" t="s">
        <v>729</v>
      </c>
      <c r="D75" s="335">
        <v>21000061</v>
      </c>
      <c r="E75" s="335">
        <v>37013522.131521925</v>
      </c>
    </row>
    <row r="76" spans="1:6">
      <c r="A76" s="1295" t="s">
        <v>65</v>
      </c>
      <c r="B76" s="1295" t="s">
        <v>727</v>
      </c>
      <c r="C76" s="1295" t="s">
        <v>730</v>
      </c>
      <c r="D76" s="335">
        <v>715393.51744263922</v>
      </c>
      <c r="E76" s="335">
        <v>1194464.7498604283</v>
      </c>
    </row>
    <row r="77" spans="1:6">
      <c r="A77" s="1295" t="s">
        <v>66</v>
      </c>
      <c r="B77" s="1295" t="s">
        <v>725</v>
      </c>
      <c r="C77" s="1295" t="s">
        <v>731</v>
      </c>
      <c r="D77" s="335">
        <v>92804094</v>
      </c>
      <c r="E77" s="335">
        <v>101049414.23062307</v>
      </c>
    </row>
    <row r="78" spans="1:6">
      <c r="A78" s="1291" t="s">
        <v>66</v>
      </c>
      <c r="B78" s="1291" t="s">
        <v>727</v>
      </c>
      <c r="C78" s="1291" t="s">
        <v>732</v>
      </c>
      <c r="D78" s="1291">
        <v>8689042</v>
      </c>
      <c r="E78" s="1291">
        <v>9141058.4895203151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649586.96511472156</v>
      </c>
      <c r="C83" s="335">
        <v>643897.02669844532</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2115.7330000000002</v>
      </c>
    </row>
    <row r="92" spans="1:6">
      <c r="A92" s="1291" t="s">
        <v>69</v>
      </c>
      <c r="B92" s="338">
        <v>252.41079999999999</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688</v>
      </c>
    </row>
    <row r="98" spans="1:6">
      <c r="A98" s="1295" t="s">
        <v>72</v>
      </c>
      <c r="B98" s="335">
        <v>2</v>
      </c>
    </row>
    <row r="99" spans="1:6">
      <c r="A99" s="1295" t="s">
        <v>73</v>
      </c>
      <c r="B99" s="335">
        <v>64</v>
      </c>
    </row>
    <row r="100" spans="1:6">
      <c r="A100" s="1295" t="s">
        <v>74</v>
      </c>
      <c r="B100" s="335">
        <v>270</v>
      </c>
    </row>
    <row r="101" spans="1:6">
      <c r="A101" s="1295" t="s">
        <v>75</v>
      </c>
      <c r="B101" s="335">
        <v>46</v>
      </c>
    </row>
    <row r="102" spans="1:6">
      <c r="A102" s="1295" t="s">
        <v>76</v>
      </c>
      <c r="B102" s="335">
        <v>38</v>
      </c>
    </row>
    <row r="103" spans="1:6">
      <c r="A103" s="1295" t="s">
        <v>77</v>
      </c>
      <c r="B103" s="335">
        <v>76</v>
      </c>
    </row>
    <row r="104" spans="1:6">
      <c r="A104" s="1295" t="s">
        <v>78</v>
      </c>
      <c r="B104" s="335">
        <v>1945</v>
      </c>
    </row>
    <row r="105" spans="1:6">
      <c r="A105" s="1291" t="s">
        <v>79</v>
      </c>
      <c r="B105" s="1291">
        <v>5</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1</v>
      </c>
      <c r="C121" s="335">
        <v>0</v>
      </c>
    </row>
    <row r="122" spans="1:6">
      <c r="A122" s="1295" t="s">
        <v>87</v>
      </c>
      <c r="B122" s="335">
        <v>0</v>
      </c>
      <c r="C122" s="335">
        <v>0</v>
      </c>
    </row>
    <row r="123" spans="1:6">
      <c r="A123" s="1295" t="s">
        <v>88</v>
      </c>
      <c r="B123" s="335">
        <v>2</v>
      </c>
      <c r="C123" s="335">
        <v>8</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79</v>
      </c>
    </row>
    <row r="130" spans="1:6">
      <c r="A130" s="1295" t="s">
        <v>295</v>
      </c>
      <c r="B130" s="335">
        <v>3</v>
      </c>
    </row>
    <row r="131" spans="1:6">
      <c r="A131" s="1295" t="s">
        <v>296</v>
      </c>
      <c r="B131" s="335">
        <v>2</v>
      </c>
    </row>
    <row r="132" spans="1:6">
      <c r="A132" s="1291" t="s">
        <v>297</v>
      </c>
      <c r="B132" s="338">
        <v>6</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33976.703172371039</v>
      </c>
      <c r="C3" s="43" t="s">
        <v>170</v>
      </c>
      <c r="D3" s="43"/>
      <c r="E3" s="156"/>
      <c r="F3" s="43"/>
      <c r="G3" s="43"/>
      <c r="H3" s="43"/>
      <c r="I3" s="43"/>
      <c r="J3" s="43"/>
      <c r="K3" s="96"/>
    </row>
    <row r="4" spans="1:11">
      <c r="A4" s="366" t="s">
        <v>171</v>
      </c>
      <c r="B4" s="49">
        <f>IF(ISERROR('SEAP template'!B78+'SEAP template'!C78),0,'SEAP template'!B78+'SEAP template'!C78)</f>
        <v>2372.6438000000003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1.01</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0.20559696701163255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5.0500000000000007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22.5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0.22444444444444447</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491.88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491.88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0.20559696701163255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101.12903613368182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15878.438125925</v>
      </c>
      <c r="C5" s="17">
        <f>IF(ISERROR('Eigen informatie GS &amp; warmtenet'!B57),0,'Eigen informatie GS &amp; warmtenet'!B57)</f>
        <v>0</v>
      </c>
      <c r="D5" s="30">
        <f>(SUM(HH_hh_gas_kWh,HH_rest_gas_kWh)/1000)*0.902</f>
        <v>31063.405648474331</v>
      </c>
      <c r="E5" s="17">
        <f>B46*B57</f>
        <v>3419.3135523424739</v>
      </c>
      <c r="F5" s="17">
        <f>B51*B62</f>
        <v>26265.481541622048</v>
      </c>
      <c r="G5" s="18"/>
      <c r="H5" s="17"/>
      <c r="I5" s="17"/>
      <c r="J5" s="17">
        <f>B50*B61+C50*C61</f>
        <v>0</v>
      </c>
      <c r="K5" s="17"/>
      <c r="L5" s="17"/>
      <c r="M5" s="17"/>
      <c r="N5" s="17">
        <f>B48*B59+C48*C59</f>
        <v>9213.4824371953837</v>
      </c>
      <c r="O5" s="17">
        <f>B69*B70*B71</f>
        <v>136.01000000000002</v>
      </c>
      <c r="P5" s="17">
        <f>B77*B78*B79/1000-B77*B78*B79/1000/B80</f>
        <v>152.53333333333333</v>
      </c>
    </row>
    <row r="6" spans="1:16">
      <c r="A6" s="16" t="s">
        <v>634</v>
      </c>
      <c r="B6" s="783">
        <f>kWh_PV_kleiner_dan_10kW</f>
        <v>2115.7330000000002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17994.171125925001</v>
      </c>
      <c r="C8" s="21">
        <f>C5</f>
        <v>0</v>
      </c>
      <c r="D8" s="21">
        <f>D5</f>
        <v>31063.405648474331</v>
      </c>
      <c r="E8" s="21">
        <f>E5</f>
        <v>3419.3135523424739</v>
      </c>
      <c r="F8" s="21">
        <f>F5</f>
        <v>26265.481541622048</v>
      </c>
      <c r="G8" s="21"/>
      <c r="H8" s="21"/>
      <c r="I8" s="21"/>
      <c r="J8" s="21">
        <f>J5</f>
        <v>0</v>
      </c>
      <c r="K8" s="21"/>
      <c r="L8" s="21">
        <f>L5</f>
        <v>0</v>
      </c>
      <c r="M8" s="21">
        <f>M5</f>
        <v>0</v>
      </c>
      <c r="N8" s="21">
        <f>N5</f>
        <v>9213.4824371953837</v>
      </c>
      <c r="O8" s="21">
        <f>O5</f>
        <v>136.01000000000002</v>
      </c>
      <c r="P8" s="21">
        <f>P5</f>
        <v>152.53333333333333</v>
      </c>
    </row>
    <row r="9" spans="1:16">
      <c r="B9" s="19"/>
      <c r="C9" s="19"/>
      <c r="D9" s="261"/>
      <c r="E9" s="19"/>
      <c r="F9" s="19"/>
      <c r="G9" s="19"/>
      <c r="H9" s="19"/>
      <c r="I9" s="19"/>
      <c r="J9" s="19"/>
      <c r="K9" s="19"/>
      <c r="L9" s="19"/>
      <c r="M9" s="19"/>
      <c r="N9" s="19"/>
      <c r="O9" s="19"/>
      <c r="P9" s="19"/>
    </row>
    <row r="10" spans="1:16">
      <c r="A10" s="24" t="s">
        <v>214</v>
      </c>
      <c r="B10" s="25">
        <f ca="1">'EF ele_warmte'!B12</f>
        <v>0.20559696701163255</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3699.5470073784732</v>
      </c>
      <c r="C12" s="23">
        <f ca="1">C10*C8</f>
        <v>0</v>
      </c>
      <c r="D12" s="23">
        <f>D8*D10</f>
        <v>6274.8079409918155</v>
      </c>
      <c r="E12" s="23">
        <f>E10*E8</f>
        <v>776.18417638174162</v>
      </c>
      <c r="F12" s="23">
        <f>F10*F8</f>
        <v>7012.883571613087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688</v>
      </c>
      <c r="C18" s="168" t="s">
        <v>111</v>
      </c>
      <c r="D18" s="230"/>
      <c r="E18" s="15"/>
    </row>
    <row r="19" spans="1:7">
      <c r="A19" s="173" t="s">
        <v>72</v>
      </c>
      <c r="B19" s="37">
        <f>aantalw2001_ander</f>
        <v>2</v>
      </c>
      <c r="C19" s="168" t="s">
        <v>111</v>
      </c>
      <c r="D19" s="231"/>
      <c r="E19" s="15"/>
    </row>
    <row r="20" spans="1:7">
      <c r="A20" s="173" t="s">
        <v>73</v>
      </c>
      <c r="B20" s="37">
        <f>aantalw2001_propaan</f>
        <v>64</v>
      </c>
      <c r="C20" s="169">
        <f>IF(ISERROR(B20/SUM($B$20,$B$21,$B$22)*100),0,B20/SUM($B$20,$B$21,$B$22)*100)</f>
        <v>16.842105263157894</v>
      </c>
      <c r="D20" s="231"/>
      <c r="E20" s="15"/>
    </row>
    <row r="21" spans="1:7">
      <c r="A21" s="173" t="s">
        <v>74</v>
      </c>
      <c r="B21" s="37">
        <f>aantalw2001_elektriciteit</f>
        <v>270</v>
      </c>
      <c r="C21" s="169">
        <f>IF(ISERROR(B21/SUM($B$20,$B$21,$B$22)*100),0,B21/SUM($B$20,$B$21,$B$22)*100)</f>
        <v>71.05263157894737</v>
      </c>
      <c r="D21" s="231"/>
      <c r="E21" s="15"/>
    </row>
    <row r="22" spans="1:7">
      <c r="A22" s="173" t="s">
        <v>75</v>
      </c>
      <c r="B22" s="37">
        <f>aantalw2001_hout</f>
        <v>46</v>
      </c>
      <c r="C22" s="169">
        <f>IF(ISERROR(B22/SUM($B$20,$B$21,$B$22)*100),0,B22/SUM($B$20,$B$21,$B$22)*100)</f>
        <v>12.105263157894736</v>
      </c>
      <c r="D22" s="231"/>
      <c r="E22" s="15"/>
    </row>
    <row r="23" spans="1:7">
      <c r="A23" s="173" t="s">
        <v>76</v>
      </c>
      <c r="B23" s="37">
        <f>aantalw2001_niet_gespec</f>
        <v>38</v>
      </c>
      <c r="C23" s="168" t="s">
        <v>111</v>
      </c>
      <c r="D23" s="230"/>
      <c r="E23" s="15"/>
    </row>
    <row r="24" spans="1:7">
      <c r="A24" s="173" t="s">
        <v>77</v>
      </c>
      <c r="B24" s="37">
        <f>aantalw2001_steenkool</f>
        <v>76</v>
      </c>
      <c r="C24" s="168" t="s">
        <v>111</v>
      </c>
      <c r="D24" s="231"/>
      <c r="E24" s="15"/>
    </row>
    <row r="25" spans="1:7">
      <c r="A25" s="173" t="s">
        <v>78</v>
      </c>
      <c r="B25" s="37">
        <f>aantalw2001_stookolie</f>
        <v>1945</v>
      </c>
      <c r="C25" s="168" t="s">
        <v>111</v>
      </c>
      <c r="D25" s="230"/>
      <c r="E25" s="52"/>
    </row>
    <row r="26" spans="1:7">
      <c r="A26" s="173" t="s">
        <v>79</v>
      </c>
      <c r="B26" s="37">
        <f>aantalw2001_WP</f>
        <v>5</v>
      </c>
      <c r="C26" s="168" t="s">
        <v>111</v>
      </c>
      <c r="D26" s="230"/>
      <c r="E26" s="15"/>
    </row>
    <row r="27" spans="1:7" s="15" customFormat="1">
      <c r="A27" s="173"/>
      <c r="B27" s="29"/>
      <c r="C27" s="36"/>
      <c r="D27" s="230"/>
    </row>
    <row r="28" spans="1:7" s="15" customFormat="1">
      <c r="A28" s="232" t="s">
        <v>745</v>
      </c>
      <c r="B28" s="37">
        <f>aantalHuishoudens2011</f>
        <v>3716</v>
      </c>
      <c r="C28" s="36"/>
      <c r="D28" s="230"/>
    </row>
    <row r="29" spans="1:7" s="15" customFormat="1">
      <c r="A29" s="232" t="s">
        <v>746</v>
      </c>
      <c r="B29" s="37">
        <f>SUM(HH_hh_gas_aantal,HH_rest_gas_aantal)</f>
        <v>1695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1695</v>
      </c>
      <c r="C32" s="169">
        <f>IF(ISERROR(B32/SUM($B$32,$B$34,$B$35,$B$36,$B$38,$B$39)*100),0,B32/SUM($B$32,$B$34,$B$35,$B$36,$B$38,$B$39)*100)</f>
        <v>45.711974110032358</v>
      </c>
      <c r="D32" s="235"/>
      <c r="G32" s="15"/>
    </row>
    <row r="33" spans="1:7">
      <c r="A33" s="173" t="s">
        <v>72</v>
      </c>
      <c r="B33" s="34" t="s">
        <v>111</v>
      </c>
      <c r="C33" s="169"/>
      <c r="D33" s="235"/>
      <c r="G33" s="15"/>
    </row>
    <row r="34" spans="1:7">
      <c r="A34" s="173" t="s">
        <v>73</v>
      </c>
      <c r="B34" s="33">
        <f>IF((($B$28-$B$32-$B$39-$B$77-$B$38)*C20/100)&lt;0,0,($B$28-$B$32-$B$39-$B$77-$B$38)*C20/100)</f>
        <v>164.09263157894739</v>
      </c>
      <c r="C34" s="169">
        <f>IF(ISERROR(B34/SUM($B$32,$B$34,$B$35,$B$36,$B$38,$B$39)*100),0,B34/SUM($B$32,$B$34,$B$35,$B$36,$B$38,$B$39)*100)</f>
        <v>4.4253676261852046</v>
      </c>
      <c r="D34" s="235"/>
      <c r="G34" s="15"/>
    </row>
    <row r="35" spans="1:7">
      <c r="A35" s="173" t="s">
        <v>74</v>
      </c>
      <c r="B35" s="33">
        <f>IF((($B$28-$B$32-$B$39-$B$77-$B$38)*C21/100)&lt;0,0,($B$28-$B$32-$B$39-$B$77-$B$38)*C21/100)</f>
        <v>692.26578947368444</v>
      </c>
      <c r="C35" s="169">
        <f>IF(ISERROR(B35/SUM($B$32,$B$34,$B$35,$B$36,$B$38,$B$39)*100),0,B35/SUM($B$32,$B$34,$B$35,$B$36,$B$38,$B$39)*100)</f>
        <v>18.669519672968836</v>
      </c>
      <c r="D35" s="235"/>
      <c r="G35" s="15"/>
    </row>
    <row r="36" spans="1:7">
      <c r="A36" s="173" t="s">
        <v>75</v>
      </c>
      <c r="B36" s="33">
        <f>IF((($B$28-$B$32-$B$39-$B$77-$B$38)*C22/100)&lt;0,0,($B$28-$B$32-$B$39-$B$77-$B$38)*C22/100)</f>
        <v>117.94157894736844</v>
      </c>
      <c r="C36" s="169">
        <f>IF(ISERROR(B36/SUM($B$32,$B$34,$B$35,$B$36,$B$38,$B$39)*100),0,B36/SUM($B$32,$B$34,$B$35,$B$36,$B$38,$B$39)*100)</f>
        <v>3.1807329813206158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1038.6999999999998</v>
      </c>
      <c r="C39" s="169">
        <f>IF(ISERROR(B39/SUM($B$32,$B$34,$B$35,$B$36,$B$38,$B$39)*100),0,B39/SUM($B$32,$B$34,$B$35,$B$36,$B$38,$B$39)*100)</f>
        <v>28.012405609492987</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1695</v>
      </c>
      <c r="C44" s="34" t="s">
        <v>111</v>
      </c>
      <c r="D44" s="176"/>
    </row>
    <row r="45" spans="1:7">
      <c r="A45" s="173" t="s">
        <v>72</v>
      </c>
      <c r="B45" s="33" t="str">
        <f t="shared" si="0"/>
        <v>-</v>
      </c>
      <c r="C45" s="34" t="s">
        <v>111</v>
      </c>
      <c r="D45" s="176"/>
    </row>
    <row r="46" spans="1:7">
      <c r="A46" s="173" t="s">
        <v>73</v>
      </c>
      <c r="B46" s="33">
        <f t="shared" si="0"/>
        <v>164.09263157894739</v>
      </c>
      <c r="C46" s="34" t="s">
        <v>111</v>
      </c>
      <c r="D46" s="176"/>
    </row>
    <row r="47" spans="1:7">
      <c r="A47" s="173" t="s">
        <v>74</v>
      </c>
      <c r="B47" s="33">
        <f t="shared" si="0"/>
        <v>692.26578947368444</v>
      </c>
      <c r="C47" s="34" t="s">
        <v>111</v>
      </c>
      <c r="D47" s="176"/>
    </row>
    <row r="48" spans="1:7">
      <c r="A48" s="173" t="s">
        <v>75</v>
      </c>
      <c r="B48" s="33">
        <f t="shared" si="0"/>
        <v>117.94157894736844</v>
      </c>
      <c r="C48" s="33">
        <f>B48*10</f>
        <v>1179.4157894736845</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1038.6999999999998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87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13402.861322580078</v>
      </c>
      <c r="C5" s="17">
        <f>IF(ISERROR('Eigen informatie GS &amp; warmtenet'!B58),0,'Eigen informatie GS &amp; warmtenet'!B58)</f>
        <v>0</v>
      </c>
      <c r="D5" s="30">
        <f>SUM(D6:D12)</f>
        <v>17803.027226068836</v>
      </c>
      <c r="E5" s="17">
        <f>SUM(E6:E12)</f>
        <v>244.12091370934584</v>
      </c>
      <c r="F5" s="17">
        <f>SUM(F6:F12)</f>
        <v>2703.3664041640286</v>
      </c>
      <c r="G5" s="18"/>
      <c r="H5" s="17"/>
      <c r="I5" s="17"/>
      <c r="J5" s="17">
        <f>SUM(J6:J12)</f>
        <v>0</v>
      </c>
      <c r="K5" s="17"/>
      <c r="L5" s="17"/>
      <c r="M5" s="17"/>
      <c r="N5" s="17">
        <f>SUM(N6:N12)</f>
        <v>830.87700142039864</v>
      </c>
      <c r="O5" s="17">
        <f>B38*B39*B40</f>
        <v>4.6900000000000004</v>
      </c>
      <c r="P5" s="17">
        <f>B46*B47*B48/1000-B46*B47*B48/1000/B49</f>
        <v>57.2</v>
      </c>
      <c r="R5" s="32"/>
    </row>
    <row r="6" spans="1:18">
      <c r="A6" s="32" t="s">
        <v>54</v>
      </c>
      <c r="B6" s="37">
        <f>B26</f>
        <v>2381.12746163668</v>
      </c>
      <c r="C6" s="33"/>
      <c r="D6" s="37">
        <f>IF(ISERROR(TER_kantoor_gas_kWh/1000),0,TER_kantoor_gas_kWh/1000)*0.902</f>
        <v>2988.4352344157719</v>
      </c>
      <c r="E6" s="33">
        <f>$C$26*'E Balans VL '!I12/100/3.6*1000000</f>
        <v>9.2511843025142557</v>
      </c>
      <c r="F6" s="33">
        <f>$C$26*('E Balans VL '!L12+'E Balans VL '!N12)/100/3.6*1000000</f>
        <v>362.14782038244397</v>
      </c>
      <c r="G6" s="34"/>
      <c r="H6" s="33"/>
      <c r="I6" s="33"/>
      <c r="J6" s="33">
        <f>$C$26*('E Balans VL '!D12+'E Balans VL '!E12)/100/3.6*1000000</f>
        <v>0</v>
      </c>
      <c r="K6" s="33"/>
      <c r="L6" s="33"/>
      <c r="M6" s="33"/>
      <c r="N6" s="33">
        <f>$C$26*'E Balans VL '!Y12/100/3.6*1000000</f>
        <v>1.3122864834068289</v>
      </c>
      <c r="O6" s="33"/>
      <c r="P6" s="33"/>
      <c r="R6" s="32"/>
    </row>
    <row r="7" spans="1:18">
      <c r="A7" s="32" t="s">
        <v>53</v>
      </c>
      <c r="B7" s="37">
        <f t="shared" ref="B7:B12" si="0">B27</f>
        <v>2369.5490959465701</v>
      </c>
      <c r="C7" s="33"/>
      <c r="D7" s="37">
        <f>IF(ISERROR(TER_horeca_gas_kWh/1000),0,TER_horeca_gas_kWh/1000)*0.902</f>
        <v>685.78311046977365</v>
      </c>
      <c r="E7" s="33">
        <f>$C$27*'E Balans VL '!I9/100/3.6*1000000</f>
        <v>133.47733408713663</v>
      </c>
      <c r="F7" s="33">
        <f>$C$27*('E Balans VL '!L9+'E Balans VL '!N9)/100/3.6*1000000</f>
        <v>683.23609726258724</v>
      </c>
      <c r="G7" s="34"/>
      <c r="H7" s="33"/>
      <c r="I7" s="33"/>
      <c r="J7" s="33">
        <f>$C$27*('E Balans VL '!D9+'E Balans VL '!E9)/100/3.6*1000000</f>
        <v>0</v>
      </c>
      <c r="K7" s="33"/>
      <c r="L7" s="33"/>
      <c r="M7" s="33"/>
      <c r="N7" s="33">
        <f>$C$27*'E Balans VL '!Y9/100/3.6*1000000</f>
        <v>0.65422019205522164</v>
      </c>
      <c r="O7" s="33"/>
      <c r="P7" s="33"/>
      <c r="R7" s="32"/>
    </row>
    <row r="8" spans="1:18">
      <c r="A8" s="6" t="s">
        <v>52</v>
      </c>
      <c r="B8" s="37">
        <f t="shared" si="0"/>
        <v>6160.1212382039903</v>
      </c>
      <c r="C8" s="33"/>
      <c r="D8" s="37">
        <f>IF(ISERROR(TER_handel_gas_kWh/1000),0,TER_handel_gas_kWh/1000)*0.902</f>
        <v>1874.6797791776678</v>
      </c>
      <c r="E8" s="33">
        <f>$C$28*'E Balans VL '!I13/100/3.6*1000000</f>
        <v>88.788246254917453</v>
      </c>
      <c r="F8" s="33">
        <f>$C$28*('E Balans VL '!L13+'E Balans VL '!N13)/100/3.6*1000000</f>
        <v>1070.1565186191856</v>
      </c>
      <c r="G8" s="34"/>
      <c r="H8" s="33"/>
      <c r="I8" s="33"/>
      <c r="J8" s="33">
        <f>$C$28*('E Balans VL '!D13+'E Balans VL '!E13)/100/3.6*1000000</f>
        <v>0</v>
      </c>
      <c r="K8" s="33"/>
      <c r="L8" s="33"/>
      <c r="M8" s="33"/>
      <c r="N8" s="33">
        <f>$C$28*'E Balans VL '!Y13/100/3.6*1000000</f>
        <v>18.456408988482131</v>
      </c>
      <c r="O8" s="33"/>
      <c r="P8" s="33"/>
      <c r="R8" s="32"/>
    </row>
    <row r="9" spans="1:18">
      <c r="A9" s="32" t="s">
        <v>51</v>
      </c>
      <c r="B9" s="37">
        <f t="shared" si="0"/>
        <v>779.98505156089504</v>
      </c>
      <c r="C9" s="33"/>
      <c r="D9" s="37">
        <f>IF(ISERROR(TER_gezond_gas_kWh/1000),0,TER_gezond_gas_kWh/1000)*0.902</f>
        <v>2870.4344243715173</v>
      </c>
      <c r="E9" s="33">
        <f>$C$29*'E Balans VL '!I10/100/3.6*1000000</f>
        <v>0.83322619976813728</v>
      </c>
      <c r="F9" s="33">
        <f>$C$29*('E Balans VL '!L10+'E Balans VL '!N10)/100/3.6*1000000</f>
        <v>127.23926654482104</v>
      </c>
      <c r="G9" s="34"/>
      <c r="H9" s="33"/>
      <c r="I9" s="33"/>
      <c r="J9" s="33">
        <f>$C$29*('E Balans VL '!D10+'E Balans VL '!E10)/100/3.6*1000000</f>
        <v>0</v>
      </c>
      <c r="K9" s="33"/>
      <c r="L9" s="33"/>
      <c r="M9" s="33"/>
      <c r="N9" s="33">
        <f>$C$29*'E Balans VL '!Y10/100/3.6*1000000</f>
        <v>8.0295010552278914</v>
      </c>
      <c r="O9" s="33"/>
      <c r="P9" s="33"/>
      <c r="R9" s="32"/>
    </row>
    <row r="10" spans="1:18">
      <c r="A10" s="32" t="s">
        <v>50</v>
      </c>
      <c r="B10" s="37">
        <f t="shared" si="0"/>
        <v>1089.8673799386199</v>
      </c>
      <c r="C10" s="33"/>
      <c r="D10" s="37">
        <f>IF(ISERROR(TER_ander_gas_kWh/1000),0,TER_ander_gas_kWh/1000)*0.902</f>
        <v>418.49842835261495</v>
      </c>
      <c r="E10" s="33">
        <f>$C$30*'E Balans VL '!I14/100/3.6*1000000</f>
        <v>5.012134299202688</v>
      </c>
      <c r="F10" s="33">
        <f>$C$30*('E Balans VL '!L14+'E Balans VL '!N14)/100/3.6*1000000</f>
        <v>326.66763127455948</v>
      </c>
      <c r="G10" s="34"/>
      <c r="H10" s="33"/>
      <c r="I10" s="33"/>
      <c r="J10" s="33">
        <f>$C$30*('E Balans VL '!D14+'E Balans VL '!E14)/100/3.6*1000000</f>
        <v>0</v>
      </c>
      <c r="K10" s="33"/>
      <c r="L10" s="33"/>
      <c r="M10" s="33"/>
      <c r="N10" s="33">
        <f>$C$30*'E Balans VL '!Y14/100/3.6*1000000</f>
        <v>758.61963942079456</v>
      </c>
      <c r="O10" s="33"/>
      <c r="P10" s="33"/>
      <c r="R10" s="32"/>
    </row>
    <row r="11" spans="1:18">
      <c r="A11" s="32" t="s">
        <v>55</v>
      </c>
      <c r="B11" s="37">
        <f t="shared" si="0"/>
        <v>70.3741961049612</v>
      </c>
      <c r="C11" s="33"/>
      <c r="D11" s="37">
        <f>IF(ISERROR(TER_onderwijs_gas_kWh/1000),0,TER_onderwijs_gas_kWh/1000)*0.902</f>
        <v>0</v>
      </c>
      <c r="E11" s="33">
        <f>$C$31*'E Balans VL '!I11/100/3.6*1000000</f>
        <v>6.5281321711899737E-2</v>
      </c>
      <c r="F11" s="33">
        <f>$C$31*('E Balans VL '!L11+'E Balans VL '!N11)/100/3.6*1000000</f>
        <v>24.720837657062816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551.83689918836103</v>
      </c>
      <c r="C12" s="33"/>
      <c r="D12" s="37">
        <f>IF(ISERROR(TER_rest_gas_kWh/1000),0,TER_rest_gas_kWh/1000)*0.902</f>
        <v>8965.1962492814873</v>
      </c>
      <c r="E12" s="33">
        <f>$C$32*'E Balans VL '!I8/100/3.6*1000000</f>
        <v>6.6935072440947785</v>
      </c>
      <c r="F12" s="33">
        <f>$C$32*('E Balans VL '!L8+'E Balans VL '!N8)/100/3.6*1000000</f>
        <v>109.19823242336879</v>
      </c>
      <c r="G12" s="34"/>
      <c r="H12" s="33"/>
      <c r="I12" s="33"/>
      <c r="J12" s="33">
        <f>$C$32*('E Balans VL '!D8+'E Balans VL '!E8)/100/3.6*1000000</f>
        <v>0</v>
      </c>
      <c r="K12" s="33"/>
      <c r="L12" s="33"/>
      <c r="M12" s="33"/>
      <c r="N12" s="33">
        <f>$C$32*'E Balans VL '!Y8/100/3.6*1000000</f>
        <v>43.804945280432008</v>
      </c>
      <c r="O12" s="33"/>
      <c r="P12" s="33"/>
      <c r="R12" s="32"/>
    </row>
    <row r="13" spans="1:18">
      <c r="A13" s="16" t="s">
        <v>497</v>
      </c>
      <c r="B13" s="249">
        <f ca="1">'lokale energieproductie'!N91+'lokale energieproductie'!N60</f>
        <v>0</v>
      </c>
      <c r="C13" s="249">
        <f ca="1">'lokale energieproductie'!O91+'lokale energieproductie'!O60</f>
        <v>0</v>
      </c>
      <c r="D13" s="312">
        <f ca="1">('lokale energieproductie'!P60+'lokale energieproductie'!P91)*(-1)</f>
        <v>0</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13402.861322580078</v>
      </c>
      <c r="C16" s="21">
        <f t="shared" ca="1" si="1"/>
        <v>0</v>
      </c>
      <c r="D16" s="21">
        <f t="shared" ca="1" si="1"/>
        <v>17803.027226068836</v>
      </c>
      <c r="E16" s="21">
        <f t="shared" si="1"/>
        <v>244.12091370934584</v>
      </c>
      <c r="F16" s="21">
        <f t="shared" ca="1" si="1"/>
        <v>2703.3664041640286</v>
      </c>
      <c r="G16" s="21">
        <f t="shared" si="1"/>
        <v>0</v>
      </c>
      <c r="H16" s="21">
        <f t="shared" si="1"/>
        <v>0</v>
      </c>
      <c r="I16" s="21">
        <f t="shared" si="1"/>
        <v>0</v>
      </c>
      <c r="J16" s="21">
        <f t="shared" si="1"/>
        <v>0</v>
      </c>
      <c r="K16" s="21">
        <f t="shared" si="1"/>
        <v>0</v>
      </c>
      <c r="L16" s="21">
        <f t="shared" ca="1" si="1"/>
        <v>0</v>
      </c>
      <c r="M16" s="21">
        <f t="shared" si="1"/>
        <v>0</v>
      </c>
      <c r="N16" s="21">
        <f t="shared" ca="1" si="1"/>
        <v>830.87700142039864</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0.20559696701163255</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2755.5876371999821</v>
      </c>
      <c r="C20" s="23">
        <f t="shared" ref="C20:P20" ca="1" si="2">C16*C18</f>
        <v>0</v>
      </c>
      <c r="D20" s="23">
        <f t="shared" ca="1" si="2"/>
        <v>3596.2114996659052</v>
      </c>
      <c r="E20" s="23">
        <f t="shared" si="2"/>
        <v>55.415447412021507</v>
      </c>
      <c r="F20" s="23">
        <f t="shared" ca="1" si="2"/>
        <v>721.79882991179568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2381.12746163668</v>
      </c>
      <c r="C26" s="39">
        <f>IF(ISERROR(B26*3.6/1000000/'E Balans VL '!Z12*100),0,B26*3.6/1000000/'E Balans VL '!Z12*100)</f>
        <v>5.0576326742380232E-2</v>
      </c>
      <c r="D26" s="239" t="s">
        <v>692</v>
      </c>
      <c r="F26" s="6"/>
    </row>
    <row r="27" spans="1:18">
      <c r="A27" s="233" t="s">
        <v>53</v>
      </c>
      <c r="B27" s="33">
        <f>IF(ISERROR(TER_horeca_ele_kWh/1000),0,TER_horeca_ele_kWh/1000)</f>
        <v>2369.5490959465701</v>
      </c>
      <c r="C27" s="39">
        <f>IF(ISERROR(B27*3.6/1000000/'E Balans VL '!Z9*100),0,B27*3.6/1000000/'E Balans VL '!Z9*100)</f>
        <v>0.18424687294936587</v>
      </c>
      <c r="D27" s="239" t="s">
        <v>692</v>
      </c>
      <c r="F27" s="6"/>
    </row>
    <row r="28" spans="1:18">
      <c r="A28" s="173" t="s">
        <v>52</v>
      </c>
      <c r="B28" s="33">
        <f>IF(ISERROR(TER_handel_ele_kWh/1000),0,TER_handel_ele_kWh/1000)</f>
        <v>6160.1212382039903</v>
      </c>
      <c r="C28" s="39">
        <f>IF(ISERROR(B28*3.6/1000000/'E Balans VL '!Z13*100),0,B28*3.6/1000000/'E Balans VL '!Z13*100)</f>
        <v>0.17624831836248547</v>
      </c>
      <c r="D28" s="239" t="s">
        <v>692</v>
      </c>
      <c r="F28" s="6"/>
    </row>
    <row r="29" spans="1:18">
      <c r="A29" s="233" t="s">
        <v>51</v>
      </c>
      <c r="B29" s="33">
        <f>IF(ISERROR(TER_gezond_ele_kWh/1000),0,TER_gezond_ele_kWh/1000)</f>
        <v>779.98505156089504</v>
      </c>
      <c r="C29" s="39">
        <f>IF(ISERROR(B29*3.6/1000000/'E Balans VL '!Z10*100),0,B29*3.6/1000000/'E Balans VL '!Z10*100)</f>
        <v>8.5036495299010015E-2</v>
      </c>
      <c r="D29" s="239" t="s">
        <v>692</v>
      </c>
      <c r="F29" s="6"/>
    </row>
    <row r="30" spans="1:18">
      <c r="A30" s="233" t="s">
        <v>50</v>
      </c>
      <c r="B30" s="33">
        <f>IF(ISERROR(TER_ander_ele_kWh/1000),0,TER_ander_ele_kWh/1000)</f>
        <v>1089.8673799386199</v>
      </c>
      <c r="C30" s="39">
        <f>IF(ISERROR(B30*3.6/1000000/'E Balans VL '!Z14*100),0,B30*3.6/1000000/'E Balans VL '!Z14*100)</f>
        <v>7.9754022558363918E-2</v>
      </c>
      <c r="D30" s="239" t="s">
        <v>692</v>
      </c>
      <c r="F30" s="6"/>
    </row>
    <row r="31" spans="1:18">
      <c r="A31" s="233" t="s">
        <v>55</v>
      </c>
      <c r="B31" s="33">
        <f>IF(ISERROR(TER_onderwijs_ele_kWh/1000),0,TER_onderwijs_ele_kWh/1000)</f>
        <v>70.3741961049612</v>
      </c>
      <c r="C31" s="39">
        <f>IF(ISERROR(B31*3.6/1000000/'E Balans VL '!Z11*100),0,B31*3.6/1000000/'E Balans VL '!Z11*100)</f>
        <v>1.4134709546118463E-2</v>
      </c>
      <c r="D31" s="239" t="s">
        <v>692</v>
      </c>
    </row>
    <row r="32" spans="1:18">
      <c r="A32" s="233" t="s">
        <v>260</v>
      </c>
      <c r="B32" s="33">
        <f>IF(ISERROR(TER_rest_ele_kWh/1000),0,TER_rest_ele_kWh/1000)</f>
        <v>551.83689918836103</v>
      </c>
      <c r="C32" s="39">
        <f>IF(ISERROR(B32*3.6/1000000/'E Balans VL '!Z8*100),0,B32*3.6/1000000/'E Balans VL '!Z8*100)</f>
        <v>4.4971358355866582E-3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3</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3</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1072.9319760239766</v>
      </c>
      <c r="C5" s="17">
        <f>IF(ISERROR('Eigen informatie GS &amp; warmtenet'!B59),0,'Eigen informatie GS &amp; warmtenet'!B59)</f>
        <v>0</v>
      </c>
      <c r="D5" s="30">
        <f>SUM(D6:D15)</f>
        <v>1049.3597804178471</v>
      </c>
      <c r="E5" s="17">
        <f>SUM(E6:E15)</f>
        <v>210.41461280963537</v>
      </c>
      <c r="F5" s="17">
        <f>SUM(F6:F15)</f>
        <v>862.84480752413617</v>
      </c>
      <c r="G5" s="18"/>
      <c r="H5" s="17"/>
      <c r="I5" s="17"/>
      <c r="J5" s="17">
        <f>SUM(J6:J15)</f>
        <v>0.29714895139828651</v>
      </c>
      <c r="K5" s="17"/>
      <c r="L5" s="17"/>
      <c r="M5" s="17"/>
      <c r="N5" s="17">
        <f>SUM(N6:N15)</f>
        <v>312.99669322504906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45.035554287182002</v>
      </c>
      <c r="C8" s="33"/>
      <c r="D8" s="37">
        <f>IF( ISERROR(IND_metaal_Gas_kWH/1000),0,IND_metaal_Gas_kWH/1000)*0.902</f>
        <v>0</v>
      </c>
      <c r="E8" s="33">
        <f>C30*'E Balans VL '!I18/100/3.6*1000000</f>
        <v>1.2935901618607424</v>
      </c>
      <c r="F8" s="33">
        <f>C30*'E Balans VL '!L18/100/3.6*1000000+C30*'E Balans VL '!N18/100/3.6*1000000</f>
        <v>11.550753516476536</v>
      </c>
      <c r="G8" s="34"/>
      <c r="H8" s="33"/>
      <c r="I8" s="33"/>
      <c r="J8" s="40">
        <f>C30*'E Balans VL '!D18/100/3.6*1000000+C30*'E Balans VL '!E18/100/3.6*1000000</f>
        <v>0</v>
      </c>
      <c r="K8" s="33"/>
      <c r="L8" s="33"/>
      <c r="M8" s="33"/>
      <c r="N8" s="33">
        <f>C30*'E Balans VL '!Y18/100/3.6*1000000</f>
        <v>1.2228072294878081</v>
      </c>
      <c r="O8" s="33"/>
      <c r="P8" s="33"/>
      <c r="R8" s="32"/>
    </row>
    <row r="9" spans="1:18">
      <c r="A9" s="6" t="s">
        <v>33</v>
      </c>
      <c r="B9" s="37">
        <f t="shared" si="0"/>
        <v>679.536281978543</v>
      </c>
      <c r="C9" s="33"/>
      <c r="D9" s="37">
        <f>IF( ISERROR(IND_andere_gas_kWh/1000),0,IND_andere_gas_kWh/1000)*0.902</f>
        <v>390.98814251384533</v>
      </c>
      <c r="E9" s="33">
        <f>C31*'E Balans VL '!I19/100/3.6*1000000</f>
        <v>183.93376374554225</v>
      </c>
      <c r="F9" s="33">
        <f>C31*'E Balans VL '!L19/100/3.6*1000000+C31*'E Balans VL '!N19/100/3.6*1000000</f>
        <v>452.64307375763252</v>
      </c>
      <c r="G9" s="34"/>
      <c r="H9" s="33"/>
      <c r="I9" s="33"/>
      <c r="J9" s="40">
        <f>C31*'E Balans VL '!D19/100/3.6*1000000+C31*'E Balans VL '!E19/100/3.6*1000000</f>
        <v>0</v>
      </c>
      <c r="K9" s="33"/>
      <c r="L9" s="33"/>
      <c r="M9" s="33"/>
      <c r="N9" s="33">
        <f>C31*'E Balans VL '!Y19/100/3.6*1000000</f>
        <v>221.85730800196814</v>
      </c>
      <c r="O9" s="33"/>
      <c r="P9" s="33"/>
      <c r="R9" s="32"/>
    </row>
    <row r="10" spans="1:18">
      <c r="A10" s="6" t="s">
        <v>41</v>
      </c>
      <c r="B10" s="37">
        <f t="shared" si="0"/>
        <v>250.53423084077801</v>
      </c>
      <c r="C10" s="33"/>
      <c r="D10" s="37">
        <f>IF( ISERROR(IND_voed_gas_kWh/1000),0,IND_voed_gas_kWh/1000)*0.902</f>
        <v>0</v>
      </c>
      <c r="E10" s="33">
        <f>C32*'E Balans VL '!I20/100/3.6*1000000</f>
        <v>20.434147454791649</v>
      </c>
      <c r="F10" s="33">
        <f>C32*'E Balans VL '!L20/100/3.6*1000000+C32*'E Balans VL '!N20/100/3.6*1000000</f>
        <v>373.56926864069391</v>
      </c>
      <c r="G10" s="34"/>
      <c r="H10" s="33"/>
      <c r="I10" s="33"/>
      <c r="J10" s="40">
        <f>C32*'E Balans VL '!D20/100/3.6*1000000+C32*'E Balans VL '!E20/100/3.6*1000000</f>
        <v>3.3142637662634941E-3</v>
      </c>
      <c r="K10" s="33"/>
      <c r="L10" s="33"/>
      <c r="M10" s="33"/>
      <c r="N10" s="33">
        <f>C32*'E Balans VL '!Y20/100/3.6*1000000</f>
        <v>73.598116621255585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14.675838349920101</v>
      </c>
      <c r="C12" s="33"/>
      <c r="D12" s="37">
        <f>IF( ISERROR(IND_min_gas_kWh/1000),0,IND_min_gas_kWh/1000)*0.902</f>
        <v>0</v>
      </c>
      <c r="E12" s="33">
        <f>C34*'E Balans VL '!I22/100/3.6*1000000</f>
        <v>0.11432158301681422</v>
      </c>
      <c r="F12" s="33">
        <f>C34*'E Balans VL '!L22/100/3.6*1000000+C34*'E Balans VL '!N22/100/3.6*1000000</f>
        <v>5.5348243677784978</v>
      </c>
      <c r="G12" s="34"/>
      <c r="H12" s="33"/>
      <c r="I12" s="33"/>
      <c r="J12" s="40">
        <f>C34*'E Balans VL '!D22/100/3.6*1000000+C34*'E Balans VL '!E22/100/3.6*1000000</f>
        <v>8.0715827773051044E-2</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83.150070567553499</v>
      </c>
      <c r="C15" s="33"/>
      <c r="D15" s="37">
        <f>IF( ISERROR(IND_rest_gas_kWh/1000),0,IND_rest_gas_kWh/1000)*0.902</f>
        <v>658.37163790400166</v>
      </c>
      <c r="E15" s="33">
        <f>C37*'E Balans VL '!I15/100/3.6*1000000</f>
        <v>4.6387898644238899</v>
      </c>
      <c r="F15" s="33">
        <f>C37*'E Balans VL '!L15/100/3.6*1000000+C37*'E Balans VL '!N15/100/3.6*1000000</f>
        <v>19.546887241554746</v>
      </c>
      <c r="G15" s="34"/>
      <c r="H15" s="33"/>
      <c r="I15" s="33"/>
      <c r="J15" s="40">
        <f>C37*'E Balans VL '!D15/100/3.6*1000000+C37*'E Balans VL '!E15/100/3.6*1000000</f>
        <v>0.21311885985897197</v>
      </c>
      <c r="K15" s="33"/>
      <c r="L15" s="33"/>
      <c r="M15" s="33"/>
      <c r="N15" s="33">
        <f>C37*'E Balans VL '!Y15/100/3.6*1000000</f>
        <v>16.318461372337513</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1072.9319760239766</v>
      </c>
      <c r="C18" s="21">
        <f>C5+C16</f>
        <v>0</v>
      </c>
      <c r="D18" s="21">
        <f>MAX((D5+D16),0)</f>
        <v>1049.3597804178471</v>
      </c>
      <c r="E18" s="21">
        <f>MAX((E5+E16),0)</f>
        <v>210.41461280963537</v>
      </c>
      <c r="F18" s="21">
        <f>MAX((F5+F16),0)</f>
        <v>862.84480752413617</v>
      </c>
      <c r="G18" s="21"/>
      <c r="H18" s="21"/>
      <c r="I18" s="21"/>
      <c r="J18" s="21">
        <f>MAX((J5+J16),0)</f>
        <v>0.29714895139828651</v>
      </c>
      <c r="K18" s="21"/>
      <c r="L18" s="21">
        <f>MAX((L5+L16),0)</f>
        <v>0</v>
      </c>
      <c r="M18" s="21"/>
      <c r="N18" s="21">
        <f>MAX((N5+N16),0)</f>
        <v>312.99669322504906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0.20559696701163255</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220.59156008032724</v>
      </c>
      <c r="C22" s="23">
        <f ca="1">C18*C20</f>
        <v>0</v>
      </c>
      <c r="D22" s="23">
        <f>D18*D20</f>
        <v>211.97067564440513</v>
      </c>
      <c r="E22" s="23">
        <f>E18*E20</f>
        <v>47.764117107787229</v>
      </c>
      <c r="F22" s="23">
        <f>F18*F20</f>
        <v>230.37956360894438</v>
      </c>
      <c r="G22" s="23"/>
      <c r="H22" s="23"/>
      <c r="I22" s="23"/>
      <c r="J22" s="23">
        <f>J18*J20</f>
        <v>0.10519072879499342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45.035554287182002</v>
      </c>
      <c r="C30" s="39">
        <f>IF(ISERROR(B30*3.6/1000000/'E Balans VL '!Z18*100),0,B30*3.6/1000000/'E Balans VL '!Z18*100)</f>
        <v>4.4313835783351095E-3</v>
      </c>
      <c r="D30" s="239" t="s">
        <v>692</v>
      </c>
    </row>
    <row r="31" spans="1:18">
      <c r="A31" s="6" t="s">
        <v>33</v>
      </c>
      <c r="B31" s="37">
        <f>IF( ISERROR(IND_ander_ele_kWh/1000),0,IND_ander_ele_kWh/1000)</f>
        <v>679.536281978543</v>
      </c>
      <c r="C31" s="39">
        <f>IF(ISERROR(B31*3.6/1000000/'E Balans VL '!Z19*100),0,B31*3.6/1000000/'E Balans VL '!Z19*100)</f>
        <v>2.9593263019413067E-2</v>
      </c>
      <c r="D31" s="239" t="s">
        <v>692</v>
      </c>
    </row>
    <row r="32" spans="1:18">
      <c r="A32" s="173" t="s">
        <v>41</v>
      </c>
      <c r="B32" s="37">
        <f>IF( ISERROR(IND_voed_ele_kWh/1000),0,IND_voed_ele_kWh/1000)</f>
        <v>250.53423084077801</v>
      </c>
      <c r="C32" s="39">
        <f>IF(ISERROR(B32*3.6/1000000/'E Balans VL '!Z20*100),0,B32*3.6/1000000/'E Balans VL '!Z20*100)</f>
        <v>4.7535257205370954E-2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14.675838349920101</v>
      </c>
      <c r="C34" s="39">
        <f>IF(ISERROR(B34*3.6/1000000/'E Balans VL '!Z22*100),0,B34*3.6/1000000/'E Balans VL '!Z22*100)</f>
        <v>2.063570242174002E-3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83.150070567553499</v>
      </c>
      <c r="C37" s="39">
        <f>IF(ISERROR(B37*3.6/1000000/'E Balans VL '!Z15*100),0,B37*3.6/1000000/'E Balans VL '!Z15*100)</f>
        <v>6.4077342306142885E-4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622.60947424071867</v>
      </c>
      <c r="C5" s="17">
        <f>'Eigen informatie GS &amp; warmtenet'!B60</f>
        <v>0</v>
      </c>
      <c r="D5" s="30">
        <f>IF(ISERROR(SUM(LB_lb_gas_kWh,LB_rest_gas_kWh)/1000),0,SUM(LB_lb_gas_kWh,LB_rest_gas_kWh)/1000)*0.902</f>
        <v>102.33237184588026</v>
      </c>
      <c r="E5" s="17">
        <f>B17*'E Balans VL '!I25/3.6*1000000/100</f>
        <v>7.8456814595160749</v>
      </c>
      <c r="F5" s="17">
        <f>B17*('E Balans VL '!L25/3.6*1000000+'E Balans VL '!N25/3.6*1000000)/100</f>
        <v>2148.158659123545</v>
      </c>
      <c r="G5" s="18"/>
      <c r="H5" s="17"/>
      <c r="I5" s="17"/>
      <c r="J5" s="17">
        <f>('E Balans VL '!D25+'E Balans VL '!E25)/3.6*1000000*landbouw!B17/100</f>
        <v>93.633387351091784</v>
      </c>
      <c r="K5" s="17"/>
      <c r="L5" s="17">
        <f>L6*(-1)</f>
        <v>0</v>
      </c>
      <c r="M5" s="17"/>
      <c r="N5" s="17">
        <f>N6*(-1)</f>
        <v>0</v>
      </c>
      <c r="O5" s="17"/>
      <c r="P5" s="17"/>
      <c r="R5" s="32"/>
    </row>
    <row r="6" spans="1:18">
      <c r="A6" s="16" t="s">
        <v>497</v>
      </c>
      <c r="B6" s="17" t="s">
        <v>211</v>
      </c>
      <c r="C6" s="17">
        <f>'lokale energieproductie'!O92+'lokale energieproductie'!O61</f>
        <v>22.5</v>
      </c>
      <c r="D6" s="312">
        <f>('lokale energieproductie'!P61+'lokale energieproductie'!P92)*(-1)</f>
        <v>-30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622.60947424071867</v>
      </c>
      <c r="C8" s="21">
        <f>C5+C6</f>
        <v>22.5</v>
      </c>
      <c r="D8" s="21">
        <f>MAX((D5+D6),0)</f>
        <v>72.33237184588026</v>
      </c>
      <c r="E8" s="21">
        <f>MAX((E5+E6),0)</f>
        <v>7.8456814595160749</v>
      </c>
      <c r="F8" s="21">
        <f>MAX((F5+F6),0)</f>
        <v>2148.158659123545</v>
      </c>
      <c r="G8" s="21"/>
      <c r="H8" s="21"/>
      <c r="I8" s="21"/>
      <c r="J8" s="21">
        <f>MAX((J5+J6),0)</f>
        <v>93.633387351091784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0.20559696701163255</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128.00661953659892</v>
      </c>
      <c r="C12" s="23">
        <f ca="1">C8*C10</f>
        <v>5.0500000000000007</v>
      </c>
      <c r="D12" s="23">
        <f>D8*D10</f>
        <v>14.611139112867814</v>
      </c>
      <c r="E12" s="23">
        <f>E8*E10</f>
        <v>1.7809696913101491</v>
      </c>
      <c r="F12" s="23">
        <f>F8*F10</f>
        <v>573.55836198598661</v>
      </c>
      <c r="G12" s="23"/>
      <c r="H12" s="23"/>
      <c r="I12" s="23"/>
      <c r="J12" s="23">
        <f>J8*J10</f>
        <v>33.146219122286489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8.683439814502443E-2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63.741318221832813</v>
      </c>
      <c r="C26" s="249">
        <f>B26*'GWP N2O_CH4'!B5</f>
        <v>1338.567682658489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27.352491070092768</v>
      </c>
      <c r="C27" s="249">
        <f>B27*'GWP N2O_CH4'!B5</f>
        <v>574.40231247194811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0.88911139327499222</v>
      </c>
      <c r="C28" s="249">
        <f>B28*'GWP N2O_CH4'!B4</f>
        <v>275.62453191524759</v>
      </c>
      <c r="D28" s="50"/>
    </row>
    <row r="29" spans="1:4">
      <c r="A29" s="41" t="s">
        <v>277</v>
      </c>
      <c r="B29" s="249">
        <f>B34*'ha_N2O bodem landbouw'!B4</f>
        <v>12.193209646673866</v>
      </c>
      <c r="C29" s="249">
        <f>B29*'GWP N2O_CH4'!B4</f>
        <v>3779.8949904688984</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3.0445226108231516E-3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2.5995023858201951E-5</v>
      </c>
      <c r="C5" s="448" t="s">
        <v>211</v>
      </c>
      <c r="D5" s="433">
        <f>SUM(D6:D11)</f>
        <v>4.252329229023516E-5</v>
      </c>
      <c r="E5" s="433">
        <f>SUM(E6:E11)</f>
        <v>1.5206221832012267E-3</v>
      </c>
      <c r="F5" s="446" t="s">
        <v>211</v>
      </c>
      <c r="G5" s="433">
        <f>SUM(G6:G11)</f>
        <v>0.34895910819773029</v>
      </c>
      <c r="H5" s="433">
        <f>SUM(H6:H11)</f>
        <v>6.5528555512780293E-2</v>
      </c>
      <c r="I5" s="448" t="s">
        <v>211</v>
      </c>
      <c r="J5" s="448" t="s">
        <v>211</v>
      </c>
      <c r="K5" s="448" t="s">
        <v>211</v>
      </c>
      <c r="L5" s="448" t="s">
        <v>211</v>
      </c>
      <c r="M5" s="433">
        <f>SUM(M6:M11)</f>
        <v>1.8738900293046826E-2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3.6240624977321956E-6</v>
      </c>
      <c r="C6" s="887"/>
      <c r="D6" s="887">
        <f>vkm_2011_GW_PW*SUMIFS(TableVerdeelsleutelVkm[CNG],TableVerdeelsleutelVkm[Voertuigtype],"Lichte voertuigen")*SUMIFS(TableECFTransport[EnergieConsumptieFactor (PJ per km)],TableECFTransport[Index],CONCATENATE($A6,"_CNG_CNG"))</f>
        <v>5.1323812931588856E-6</v>
      </c>
      <c r="E6" s="887">
        <f>vkm_2011_GW_PW*SUMIFS(TableVerdeelsleutelVkm[LPG],TableVerdeelsleutelVkm[Voertuigtype],"Lichte voertuigen")*SUMIFS(TableECFTransport[EnergieConsumptieFactor (PJ per km)],TableECFTransport[Index],CONCATENATE($A6,"_LPG_LPG"))</f>
        <v>1.6119120017283917E-4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2.8970472414826875E-2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7.7628711974290871E-3</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1.6619338381399691E-3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9.7893826511259094E-3</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3.4780661717401285E-6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4.4176385778612828E-4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4.1280703081404006E-6</v>
      </c>
      <c r="C8" s="887"/>
      <c r="D8" s="436">
        <f>vkm_2011_NGW_PW*SUMIFS(TableVerdeelsleutelVkm[CNG],TableVerdeelsleutelVkm[Voertuigtype],"Lichte voertuigen")*SUMIFS(TableECFTransport[EnergieConsumptieFactor (PJ per km)],TableECFTransport[Index],CONCATENATE($A8,"_CNG_CNG"))</f>
        <v>1.0415024685673007E-5</v>
      </c>
      <c r="E8" s="436">
        <f>vkm_2011_NGW_PW*SUMIFS(TableVerdeelsleutelVkm[LPG],TableVerdeelsleutelVkm[Voertuigtype],"Lichte voertuigen")*SUMIFS(TableECFTransport[EnergieConsumptieFactor (PJ per km)],TableECFTransport[Index],CONCATENATE($A8,"_LPG_LPG"))</f>
        <v>3.0128324608312557E-4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5.1070431753701746E-2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1.5200112857310717E-2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2.9990411402718749E-3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8.6145330516054427E-3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2.8962695545546584E-6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3.8873909485897314E-4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1.8242891052329356E-5</v>
      </c>
      <c r="C10" s="887"/>
      <c r="D10" s="436">
        <f>vkm_2011_SW_PW*SUMIFS(TableVerdeelsleutelVkm[CNG],TableVerdeelsleutelVkm[Voertuigtype],"Lichte voertuigen")*SUMIFS(TableECFTransport[EnergieConsumptieFactor (PJ per km)],TableECFTransport[Index],CONCATENATE($A10,"_CNG_CNG"))</f>
        <v>2.6975886311403273E-5</v>
      </c>
      <c r="E10" s="436">
        <f>vkm_2011_SW_PW*SUMIFS(TableVerdeelsleutelVkm[LPG],TableVerdeelsleutelVkm[Voertuigtype],"Lichte voertuigen")*SUMIFS(TableECFTransport[EnergieConsumptieFactor (PJ per km)],TableECFTransport[Index],CONCATENATE($A10,"_LPG_LPG"))</f>
        <v>1.0581477369452619E-3</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0.17223534393769843</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4.2529205019067873E-2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9.7148416099050051E-3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7.8278944388771865E-2</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2.999210324631823E-5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3.5325807520848744E-3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7.2208399606116531</v>
      </c>
      <c r="C14" s="21"/>
      <c r="D14" s="21">
        <f t="shared" ref="D14:M14" si="0">((D5)*10^9/3600)+D12</f>
        <v>11.812025636176433</v>
      </c>
      <c r="E14" s="21">
        <f t="shared" si="0"/>
        <v>422.39505088922959</v>
      </c>
      <c r="F14" s="21"/>
      <c r="G14" s="21">
        <f t="shared" si="0"/>
        <v>96933.085610480644</v>
      </c>
      <c r="H14" s="21">
        <f t="shared" si="0"/>
        <v>18202.37653132786</v>
      </c>
      <c r="I14" s="21"/>
      <c r="J14" s="21"/>
      <c r="K14" s="21"/>
      <c r="L14" s="21"/>
      <c r="M14" s="21">
        <f t="shared" si="0"/>
        <v>5205.2500814018958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0.20559696701163255</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1.4845827951781521</v>
      </c>
      <c r="C18" s="23"/>
      <c r="D18" s="23">
        <f t="shared" ref="D18:M18" si="1">D14*D16</f>
        <v>2.3860291785076395</v>
      </c>
      <c r="E18" s="23">
        <f t="shared" si="1"/>
        <v>95.883676551855118</v>
      </c>
      <c r="F18" s="23"/>
      <c r="G18" s="23">
        <f t="shared" si="1"/>
        <v>25881.133857998335</v>
      </c>
      <c r="H18" s="23">
        <f t="shared" si="1"/>
        <v>4532.3917563006371</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8.4748028573774226E-3</v>
      </c>
      <c r="H50" s="323">
        <f t="shared" si="2"/>
        <v>0</v>
      </c>
      <c r="I50" s="323">
        <f t="shared" si="2"/>
        <v>0</v>
      </c>
      <c r="J50" s="323">
        <f t="shared" si="2"/>
        <v>0</v>
      </c>
      <c r="K50" s="323">
        <f t="shared" si="2"/>
        <v>0</v>
      </c>
      <c r="L50" s="323">
        <f t="shared" si="2"/>
        <v>0</v>
      </c>
      <c r="M50" s="323">
        <f t="shared" si="2"/>
        <v>3.7689521172668634E-4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8.4748028573774226E-3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3.7689521172668634E-4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2354.1119048270621</v>
      </c>
      <c r="H54" s="21">
        <f t="shared" si="3"/>
        <v>0</v>
      </c>
      <c r="I54" s="21">
        <f t="shared" si="3"/>
        <v>0</v>
      </c>
      <c r="J54" s="21">
        <f t="shared" si="3"/>
        <v>0</v>
      </c>
      <c r="K54" s="21">
        <f t="shared" si="3"/>
        <v>0</v>
      </c>
      <c r="L54" s="21">
        <f t="shared" si="3"/>
        <v>0</v>
      </c>
      <c r="M54" s="21">
        <f t="shared" si="3"/>
        <v>104.69311436852398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0.20559696701163255</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628.5478785888256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2368.1438000000003</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4.5</v>
      </c>
      <c r="C8" s="560">
        <f>B101</f>
        <v>5</v>
      </c>
      <c r="D8" s="1028"/>
      <c r="E8" s="1028">
        <f>E101</f>
        <v>0</v>
      </c>
      <c r="F8" s="1029"/>
      <c r="G8" s="561"/>
      <c r="H8" s="1028">
        <f>I101</f>
        <v>0</v>
      </c>
      <c r="I8" s="1028">
        <f>G101+F101</f>
        <v>0</v>
      </c>
      <c r="J8" s="1028">
        <f>H101+D101+C101</f>
        <v>0</v>
      </c>
      <c r="K8" s="1028"/>
      <c r="L8" s="1028"/>
      <c r="M8" s="1028"/>
      <c r="N8" s="562"/>
      <c r="O8" s="563">
        <f>C8*$C$12+D8*$D$12+E8*$E$12+F8*$F$12+G8*$G$12+H8*$H$12+I8*$I$12+J8*$J$12</f>
        <v>1.01</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2372.6438000000003</v>
      </c>
      <c r="C10" s="573">
        <f t="shared" ref="C10:L10" si="0">SUM(C8:C9)</f>
        <v>5</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1.01</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22.5</v>
      </c>
      <c r="C17" s="585">
        <f>B102</f>
        <v>25</v>
      </c>
      <c r="D17" s="586"/>
      <c r="E17" s="586">
        <f>E102</f>
        <v>0</v>
      </c>
      <c r="F17" s="1034"/>
      <c r="G17" s="587"/>
      <c r="H17" s="585">
        <f>I102</f>
        <v>0</v>
      </c>
      <c r="I17" s="586">
        <f>G102+F102</f>
        <v>0</v>
      </c>
      <c r="J17" s="586">
        <f>H102+D102+C102</f>
        <v>0</v>
      </c>
      <c r="K17" s="586"/>
      <c r="L17" s="586"/>
      <c r="M17" s="586"/>
      <c r="N17" s="1035"/>
      <c r="O17" s="588">
        <f>C17*$C$22+E17*$E$22+H17*$H$22+I17*$I$22+J17*$J$22+D17*$D$22+F17*$F$22+G17*$G$22+K17*$K$22+L17*$L$22</f>
        <v>5.0500000000000007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22.5</v>
      </c>
      <c r="C20" s="572">
        <f>SUM(C17:C19)</f>
        <v>25</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5.0500000000000007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25.5">
      <c r="A28" s="596"/>
      <c r="B28" s="791">
        <v>24011</v>
      </c>
      <c r="C28" s="791">
        <v>3360</v>
      </c>
      <c r="D28" s="644" t="s">
        <v>913</v>
      </c>
      <c r="E28" s="643" t="s">
        <v>914</v>
      </c>
      <c r="F28" s="643" t="s">
        <v>915</v>
      </c>
      <c r="G28" s="643" t="s">
        <v>916</v>
      </c>
      <c r="H28" s="643" t="s">
        <v>916</v>
      </c>
      <c r="I28" s="643" t="s">
        <v>914</v>
      </c>
      <c r="J28" s="790">
        <v>40857</v>
      </c>
      <c r="K28" s="790">
        <v>40969</v>
      </c>
      <c r="L28" s="643" t="s">
        <v>917</v>
      </c>
      <c r="M28" s="643">
        <v>1</v>
      </c>
      <c r="N28" s="643">
        <v>4.5</v>
      </c>
      <c r="O28" s="643">
        <v>22.5</v>
      </c>
      <c r="P28" s="643">
        <v>30</v>
      </c>
      <c r="Q28" s="643">
        <v>0</v>
      </c>
      <c r="R28" s="643">
        <v>0</v>
      </c>
      <c r="S28" s="643">
        <v>0</v>
      </c>
      <c r="T28" s="643">
        <v>0</v>
      </c>
      <c r="U28" s="643">
        <v>0</v>
      </c>
      <c r="V28" s="643">
        <v>0</v>
      </c>
      <c r="W28" s="643">
        <v>0</v>
      </c>
      <c r="X28" s="643">
        <v>10</v>
      </c>
      <c r="Y28" s="643" t="s">
        <v>112</v>
      </c>
      <c r="Z28" s="645" t="s">
        <v>112</v>
      </c>
    </row>
    <row r="29" spans="1:26" s="597" customFormat="1" ht="12.75">
      <c r="A29" s="596"/>
      <c r="B29" s="791"/>
      <c r="C29" s="791"/>
      <c r="D29" s="644"/>
      <c r="E29" s="643"/>
      <c r="F29" s="643"/>
      <c r="G29" s="643"/>
      <c r="H29" s="643"/>
      <c r="I29" s="643"/>
      <c r="J29" s="790"/>
      <c r="K29" s="790"/>
      <c r="L29" s="643"/>
      <c r="M29" s="643"/>
      <c r="N29" s="643"/>
      <c r="O29" s="643"/>
      <c r="P29" s="643"/>
      <c r="Q29" s="643"/>
      <c r="R29" s="643"/>
      <c r="S29" s="643"/>
      <c r="T29" s="643"/>
      <c r="U29" s="643"/>
      <c r="V29" s="643"/>
      <c r="W29" s="643"/>
      <c r="X29" s="643"/>
      <c r="Y29" s="643"/>
      <c r="Z29" s="645"/>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v>
      </c>
      <c r="N58" s="601">
        <f>SUM(N28:N57)</f>
        <v>4.5</v>
      </c>
      <c r="O58" s="601">
        <f t="shared" ref="O58:W58" si="2">SUM(O28:O57)</f>
        <v>22.5</v>
      </c>
      <c r="P58" s="601">
        <f t="shared" si="2"/>
        <v>30</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0</v>
      </c>
      <c r="N60" s="601">
        <f ca="1">SUMIF($Z$28:AD57,"tertiair",N28:N57)</f>
        <v>0</v>
      </c>
      <c r="O60" s="601">
        <f ca="1">SUMIF($Z$28:AE57,"tertiair",O28:O57)</f>
        <v>0</v>
      </c>
      <c r="P60" s="601">
        <f ca="1">SUMIF($Z$28:AF57,"tertiair",P28:P57)</f>
        <v>0</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1</v>
      </c>
      <c r="N61" s="606">
        <f t="shared" si="4"/>
        <v>4.5</v>
      </c>
      <c r="O61" s="606">
        <f t="shared" si="4"/>
        <v>22.5</v>
      </c>
      <c r="P61" s="606">
        <f t="shared" si="4"/>
        <v>30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0.83333333333333337</v>
      </c>
      <c r="C98" s="626">
        <f>IF(ISERROR(N58/(O58+N58)),0,N58/(N58+O58))</f>
        <v>0.16666666666666666</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5</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25</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2019-08-12T08:02:08Z</dcterms:modified>
</cp:coreProperties>
</file>