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D20" s="1"/>
  <c r="C18"/>
  <c r="O18" s="1"/>
  <c r="B18"/>
  <c r="L9"/>
  <c r="L10" s="1"/>
  <c r="K9"/>
  <c r="K10" s="1"/>
  <c r="H9"/>
  <c r="G9"/>
  <c r="F9"/>
  <c r="D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L20"/>
  <c r="K20"/>
  <c r="B17"/>
  <c r="G12"/>
  <c r="F12"/>
  <c r="E12"/>
  <c r="D12"/>
  <c r="C12"/>
  <c r="G10"/>
  <c r="F10"/>
  <c r="D10"/>
  <c r="B6"/>
  <c r="B5"/>
  <c r="B4"/>
  <c r="I102" l="1"/>
  <c r="H17" s="1"/>
  <c r="H20" s="1"/>
  <c r="B102"/>
  <c r="C17" s="1"/>
  <c r="C20" s="1"/>
  <c r="C102"/>
  <c r="F102"/>
  <c r="G102"/>
  <c r="B10"/>
  <c r="C98"/>
  <c r="B20"/>
  <c r="O19"/>
  <c r="D102"/>
  <c r="H102"/>
  <c r="E101"/>
  <c r="E8" s="1"/>
  <c r="E10" s="1"/>
  <c r="E102"/>
  <c r="E17" s="1"/>
  <c r="E20" s="1"/>
  <c r="N6" i="17"/>
  <c r="I101" i="18" l="1"/>
  <c r="H8" s="1"/>
  <c r="H10" s="1"/>
  <c r="D101"/>
  <c r="F101"/>
  <c r="G101"/>
  <c r="I8" s="1"/>
  <c r="I10" s="1"/>
  <c r="H101"/>
  <c r="J8" s="1"/>
  <c r="J10" s="1"/>
  <c r="B101"/>
  <c r="C8" s="1"/>
  <c r="C10" s="1"/>
  <c r="C10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K20" i="59" l="1"/>
  <c r="K78" i="14"/>
  <c r="K8" i="59"/>
  <c r="K10" s="1"/>
  <c r="E90" i="14"/>
  <c r="E18" i="59"/>
  <c r="E20" s="1"/>
  <c r="L78" i="14"/>
  <c r="L9" i="59"/>
  <c r="L10" s="1"/>
  <c r="D14" i="48"/>
  <c r="G22" i="14"/>
  <c r="O22"/>
  <c r="P22"/>
  <c r="Q52"/>
  <c r="G10" i="59"/>
  <c r="Q11" i="48"/>
  <c r="O2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N90" i="14"/>
  <c r="N18" i="59"/>
  <c r="N20" s="1"/>
  <c r="O90" i="14"/>
  <c r="O18" i="59"/>
  <c r="O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90" l="1"/>
  <c r="J17" i="59"/>
  <c r="J20" s="1"/>
  <c r="Q90" i="14"/>
  <c r="B17" i="6" s="1"/>
  <c r="P17" i="59"/>
  <c r="P20" s="1"/>
  <c r="Q78" i="14"/>
  <c r="B9" i="6" s="1"/>
  <c r="P8" i="59"/>
  <c r="P10" s="1"/>
  <c r="J78" i="14"/>
  <c r="J8" i="59"/>
  <c r="J10" s="1"/>
  <c r="B87" i="14"/>
  <c r="C76"/>
  <c r="B76"/>
  <c r="C87"/>
  <c r="C90" l="1"/>
  <c r="C17" i="59"/>
  <c r="C20" s="1"/>
  <c r="B90" i="14"/>
  <c r="B17" i="59"/>
  <c r="B20" s="1"/>
  <c r="C78" i="14"/>
  <c r="C8" i="59"/>
  <c r="C10" s="1"/>
  <c r="B78" i="14"/>
  <c r="B8" i="59"/>
  <c r="B1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Q11" i="14" l="1"/>
  <c r="P4" i="48"/>
  <c r="I32"/>
  <c r="I28"/>
  <c r="I29"/>
  <c r="I31"/>
  <c r="I26"/>
  <c r="I27"/>
  <c r="I24"/>
  <c r="I25"/>
  <c r="I22"/>
  <c r="I30"/>
  <c r="H28"/>
  <c r="H29"/>
  <c r="H26"/>
  <c r="H32"/>
  <c r="H25"/>
  <c r="H24"/>
  <c r="H22"/>
  <c r="H30"/>
  <c r="H23"/>
  <c r="E29"/>
  <c r="E32"/>
  <c r="E31"/>
  <c r="E30"/>
  <c r="E28"/>
  <c r="E24"/>
  <c r="M29"/>
  <c r="M26"/>
  <c r="M25"/>
  <c r="M32"/>
  <c r="M22"/>
  <c r="M24"/>
  <c r="M30"/>
  <c r="M23"/>
  <c r="K5"/>
  <c r="L10" i="14"/>
  <c r="L16" s="1"/>
  <c r="L27" s="1"/>
  <c r="D29" i="48"/>
  <c r="D30"/>
  <c r="D28"/>
  <c r="D24"/>
  <c r="D31"/>
  <c r="D32"/>
  <c r="L29"/>
  <c r="L32"/>
  <c r="L28"/>
  <c r="L24"/>
  <c r="L31"/>
  <c r="L22"/>
  <c r="L27"/>
  <c r="L30"/>
  <c r="Q10" i="14"/>
  <c r="P5" i="48"/>
  <c r="P23" s="1"/>
  <c r="K32"/>
  <c r="K26"/>
  <c r="K28"/>
  <c r="K31"/>
  <c r="K30"/>
  <c r="K29"/>
  <c r="K24"/>
  <c r="K25"/>
  <c r="K27"/>
  <c r="K22"/>
  <c r="C24" i="14"/>
  <c r="C26" s="1"/>
  <c r="B7" i="48"/>
  <c r="N46" i="14"/>
  <c r="J15" i="16"/>
  <c r="J32" i="48"/>
  <c r="J29"/>
  <c r="J31"/>
  <c r="J30"/>
  <c r="J27"/>
  <c r="J28"/>
  <c r="J24"/>
  <c r="P11" i="14"/>
  <c r="O4" i="48"/>
  <c r="D4"/>
  <c r="D22" s="1"/>
  <c r="E11" i="14"/>
  <c r="C4" i="48"/>
  <c r="D11" i="14"/>
  <c r="G32" i="48"/>
  <c r="G26"/>
  <c r="G25"/>
  <c r="G30"/>
  <c r="G29"/>
  <c r="G24"/>
  <c r="G22"/>
  <c r="G23"/>
  <c r="C11" i="14"/>
  <c r="B4" i="48"/>
  <c r="F29"/>
  <c r="F32"/>
  <c r="F31"/>
  <c r="F27"/>
  <c r="F28"/>
  <c r="F30"/>
  <c r="F24"/>
  <c r="N31"/>
  <c r="N29"/>
  <c r="N32"/>
  <c r="N27"/>
  <c r="N28"/>
  <c r="N30"/>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20" i="14" l="1"/>
  <c r="F22" s="1"/>
  <c r="E9" i="48"/>
  <c r="P22" i="16"/>
  <c r="Q43" i="14" s="1"/>
  <c r="Q13"/>
  <c r="Q16" s="1"/>
  <c r="Q27" s="1"/>
  <c r="P8" i="48"/>
  <c r="P26" s="1"/>
  <c r="O22"/>
  <c r="K15"/>
  <c r="K23"/>
  <c r="K33" s="1"/>
  <c r="E20" i="14"/>
  <c r="E22" s="1"/>
  <c r="D9" i="48"/>
  <c r="D27" s="1"/>
  <c r="M12" i="22"/>
  <c r="M13" i="48"/>
  <c r="M31" s="1"/>
  <c r="N18" i="14"/>
  <c r="G13" i="48"/>
  <c r="H18" i="14"/>
  <c r="I18"/>
  <c r="H13" i="48"/>
  <c r="H31" s="1"/>
  <c r="C22" i="14"/>
  <c r="P22" i="48"/>
  <c r="P33" s="1"/>
  <c r="B9"/>
  <c r="C20" i="14"/>
  <c r="P10"/>
  <c r="O5" i="48"/>
  <c r="O23" s="1"/>
  <c r="F4"/>
  <c r="F22" s="1"/>
  <c r="G11" i="14"/>
  <c r="K24"/>
  <c r="K26" s="1"/>
  <c r="J7" i="48"/>
  <c r="J25" s="1"/>
  <c r="I5"/>
  <c r="J10" i="14"/>
  <c r="J16" s="1"/>
  <c r="J27" s="1"/>
  <c r="L63"/>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K11"/>
  <c r="J4" i="48"/>
  <c r="N20" i="14"/>
  <c r="M9" i="48"/>
  <c r="E27"/>
  <c r="G9"/>
  <c r="H20" i="14"/>
  <c r="O8" i="48"/>
  <c r="O26" s="1"/>
  <c r="P13" i="14"/>
  <c r="I23" i="48"/>
  <c r="I33" s="1"/>
  <c r="I15"/>
  <c r="G10"/>
  <c r="H19" i="14"/>
  <c r="R19" s="1"/>
  <c r="G31" i="48"/>
  <c r="Q13"/>
  <c r="N19" i="14"/>
  <c r="M10" i="48"/>
  <c r="M28" s="1"/>
  <c r="F24" i="14"/>
  <c r="F26" s="1"/>
  <c r="E7" i="48"/>
  <c r="E25" s="1"/>
  <c r="P16" i="14"/>
  <c r="P27" s="1"/>
  <c r="P15" i="48"/>
  <c r="N22" i="14"/>
  <c r="N27" s="1"/>
  <c r="O33" i="48"/>
  <c r="Q46" i="14"/>
  <c r="Q61" s="1"/>
  <c r="Q63" s="1"/>
  <c r="R1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9" i="48" l="1"/>
  <c r="I20" i="14"/>
  <c r="I22" s="1"/>
  <c r="I27" s="1"/>
  <c r="G28" i="48"/>
  <c r="Q10"/>
  <c r="E20" i="15"/>
  <c r="F40" i="14" s="1"/>
  <c r="F46" s="1"/>
  <c r="F61" s="1"/>
  <c r="F10"/>
  <c r="E5" i="48"/>
  <c r="E23" s="1"/>
  <c r="G27"/>
  <c r="G33" s="1"/>
  <c r="G15"/>
  <c r="J5"/>
  <c r="J23" s="1"/>
  <c r="K10" i="14"/>
  <c r="J22" i="48"/>
  <c r="E22"/>
  <c r="Q4"/>
  <c r="M27"/>
  <c r="M33" s="1"/>
  <c r="M15"/>
  <c r="N63" i="14"/>
  <c r="H22"/>
  <c r="H27" s="1"/>
  <c r="H63" s="1"/>
  <c r="R22"/>
  <c r="R20"/>
  <c r="E46"/>
  <c r="E61" s="1"/>
  <c r="O15" i="48"/>
  <c r="R11" i="14"/>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J22" i="16" l="1"/>
  <c r="K43" i="14" s="1"/>
  <c r="K46" s="1"/>
  <c r="K61" s="1"/>
  <c r="J8" i="48"/>
  <c r="K13" i="14"/>
  <c r="H27" i="48"/>
  <c r="H33" s="1"/>
  <c r="H15"/>
  <c r="Q9"/>
  <c r="F13" i="14"/>
  <c r="F16" s="1"/>
  <c r="F27" s="1"/>
  <c r="F63" s="1"/>
  <c r="E8" i="48"/>
  <c r="Q5"/>
  <c r="R10" i="14"/>
  <c r="K16"/>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<sst xmlns="http://schemas.openxmlformats.org/spreadsheetml/2006/main" count="2432" uniqueCount="913">
  <si>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</si>
  <si>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</si>
  <si>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</si>
  <si>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</si>
  <si>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</si>
  <si>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</si>
  <si>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</si>
  <si>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</si>
  <si>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</si>
  <si>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</si>
  <si>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</si>
  <si>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</si>
  <si>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</si>
  <si>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</si>
  <si>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</si>
  <si>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</si>
  <si>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</si>
  <si>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</si>
  <si>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</si>
  <si>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</si>
  <si>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</si>
  <si>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</si>
  <si>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</si>
  <si>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</si>
  <si>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</si>
  <si>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</si>
  <si>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</si>
  <si>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</si>
  <si>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</si>
  <si>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</si>
  <si>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</si>
  <si>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</si>
  <si>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</si>
  <si>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</si>
  <si>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</si>
  <si>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</si>
  <si>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</si>
  <si>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</si>
  <si>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</si>
  <si>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</si>
  <si>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</si>
  <si>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</si>
  <si>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</si>
  <si>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</si>
  <si>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</si>
  <si>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</si>
  <si>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</si>
  <si>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</si>
  <si>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</si>
  <si>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</si>
  <si>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</si>
  <si>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</si>
  <si>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</si>
  <si>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</si>
  <si>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</si>
  <si>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</si>
  <si>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</si>
  <si>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</si>
  <si>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</si>
  <si>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</si>
  <si>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</si>
  <si>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</si>
  <si>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</si>
  <si>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</si>
  <si>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</si>
  <si>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</si>
  <si>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</si>
  <si>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</si>
  <si>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</si>
  <si>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</si>
  <si>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</si>
  <si>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</si>
  <si>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</si>
  <si>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</si>
  <si>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</si>
  <si>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</si>
  <si>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</si>
  <si>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</si>
  <si>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</si>
  <si>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</si>
  <si>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</si>
  <si>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</si>
  <si>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</si>
  <si>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</si>
  <si>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</si>
  <si>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</si>
  <si>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</si>
  <si>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</si>
  <si>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</si>
  <si>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</si>
  <si>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</si>
  <si>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</si>
  <si>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</si>
  <si>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</si>
  <si>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</si>
  <si>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</si>
  <si>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</si>
  <si>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</si>
  <si>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</si>
  <si>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</si>
  <si>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</si>
  <si>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</si>
  <si>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</si>
  <si>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</si>
  <si>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</si>
  <si>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</si>
  <si>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</si>
  <si>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</si>
  <si>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</si>
  <si>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</si>
  <si>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</si>
  <si>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</si>
  <si>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</si>
  <si>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</si>
  <si>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</si>
  <si>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</si>
  <si>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</si>
  <si>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</si>
  <si>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</si>
  <si>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</si>
  <si>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</si>
  <si>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</si>
  <si>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</si>
  <si>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</si>
  <si>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</si>
  <si>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</si>
  <si>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</si>
  <si>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</si>
  <si>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</si>
  <si>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</si>
  <si>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</si>
  <si>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</si>
  <si>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</si>
  <si>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</si>
  <si>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</si>
  <si>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</si>
  <si>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</si>
  <si>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</si>
  <si>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</si>
  <si>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</si>
  <si>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</si>
  <si>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</si>
  <si>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</si>
  <si>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</si>
  <si>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</si>
  <si>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</si>
  <si>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</si>
  <si>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</si>
  <si>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</si>
  <si>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</si>
  <si>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</si>
  <si>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</si>
  <si>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</si>
  <si>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</si>
  <si>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</si>
  <si>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</si>
  <si>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</si>
  <si>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</si>
  <si>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</si>
  <si>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</si>
  <si>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</si>
  <si>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</si>
  <si>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</si>
  <si>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</si>
  <si>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</si>
  <si>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</si>
  <si>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</si>
  <si>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</si>
  <si>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</si>
  <si>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</si>
  <si>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</si>
  <si>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</si>
  <si>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</si>
  <si>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</si>
  <si>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</si>
  <si>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</si>
  <si>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</si>
  <si>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</si>
  <si>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</si>
  <si>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</si>
  <si>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</si>
  <si>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</si>
  <si>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</si>
  <si>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</si>
  <si>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</si>
  <si>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</si>
  <si>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</si>
  <si>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</si>
  <si>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</si>
  <si>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</si>
  <si>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</si>
  <si>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</si>
  <si>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</si>
  <si>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</si>
  <si>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</si>
  <si>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</si>
  <si>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</si>
  <si>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</si>
  <si>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</si>
  <si>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</si>
  <si>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</si>
  <si>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</si>
  <si>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</si>
  <si>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</si>
  <si>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</si>
  <si>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</si>
  <si>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</si>
  <si>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</si>
  <si>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</si>
  <si>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</si>
  <si>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</si>
  <si>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</si>
  <si>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</si>
  <si>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</si>
  <si>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</si>
  <si>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</si>
  <si>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</si>
  <si>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</si>
  <si>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</si>
  <si>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</si>
  <si>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</si>
  <si>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</si>
  <si>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</si>
  <si>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</si>
  <si>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</si>
  <si>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</si>
  <si>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</si>
  <si>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</si>
  <si>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</si>
  <si>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</si>
  <si>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</si>
  <si>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</si>
  <si>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</si>
  <si>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</si>
  <si>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</si>
  <si>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</si>
  <si>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</si>
  <si>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</si>
  <si>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</si>
  <si>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</si>
  <si>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</si>
  <si>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</si>
  <si>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</si>
  <si>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</si>
  <si>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</si>
  <si>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</si>
  <si>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</si>
  <si>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</si>
  <si>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</si>
  <si>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</si>
  <si>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</si>
  <si>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</si>
  <si>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</si>
  <si>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</si>
  <si>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</si>
  <si>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</si>
  <si>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</si>
  <si>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</si>
  <si>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</si>
  <si>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</si>
  <si>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</si>
  <si>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</si>
  <si>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</si>
  <si>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</si>
  <si>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</si>
  <si>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</si>
  <si>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</si>
  <si>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</si>
  <si>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</si>
  <si>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</si>
  <si>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</si>
  <si>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</si>
  <si>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</si>
  <si>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</si>
  <si>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</si>
  <si>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</si>
  <si>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</si>
  <si>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</si>
  <si>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</si>
  <si>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</si>
  <si>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</si>
  <si>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</si>
  <si>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</si>
  <si>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</si>
  <si>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</si>
  <si>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</si>
  <si>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</si>
  <si>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</si>
  <si>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</si>
  <si>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</si>
  <si>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</si>
  <si>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</si>
  <si>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</si>
  <si>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</si>
  <si>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</si>
  <si>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</si>
  <si>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</si>
  <si>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</si>
  <si>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</si>
  <si>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</si>
  <si>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</si>
  <si>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</si>
  <si>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</si>
  <si>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</si>
  <si>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</si>
  <si>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</si>
  <si>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</si>
  <si>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</si>
  <si>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</si>
  <si>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</si>
  <si>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</si>
  <si>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</si>
  <si>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</si>
  <si>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</si>
  <si>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</si>
  <si>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</si>
  <si>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</si>
  <si>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</si>
  <si>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</si>
  <si>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</si>
  <si>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</si>
  <si>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</si>
  <si>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</si>
  <si>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</si>
  <si>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</si>
  <si>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</si>
  <si>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</si>
  <si>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</si>
  <si>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</si>
  <si>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</si>
  <si>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</si>
  <si>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</si>
  <si>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</si>
  <si>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</si>
  <si>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</si>
  <si>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</si>
  <si>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</si>
  <si>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</si>
  <si>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</si>
  <si>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</si>
  <si>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</si>
  <si>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</si>
  <si>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</si>
  <si>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</si>
  <si>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</si>
  <si>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</si>
  <si>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</si>
  <si>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</si>
  <si>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</si>
  <si>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</si>
  <si>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</si>
  <si>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</si>
  <si>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</si>
  <si>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</si>
  <si>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</si>
  <si>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</si>
  <si>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</si>
  <si>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</si>
  <si>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</si>
  <si>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</si>
  <si>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</si>
  <si>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</si>
  <si>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</si>
  <si>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</si>
  <si>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</si>
  <si>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</si>
  <si>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</si>
  <si>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</si>
  <si>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</si>
  <si>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</si>
  <si>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</si>
  <si>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</si>
  <si>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</si>
  <si>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</si>
  <si>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</si>
  <si>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</si>
  <si>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</si>
  <si>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</si>
  <si>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</si>
  <si>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</si>
  <si>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</si>
  <si>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</si>
  <si>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</si>
  <si>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</si>
  <si>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</si>
  <si>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</si>
  <si>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</si>
  <si>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</si>
  <si>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</si>
  <si>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</si>
  <si>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</si>
  <si>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</si>
  <si>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</si>
  <si>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</si>
  <si>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</si>
  <si>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</si>
  <si>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</si>
  <si>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</si>
  <si>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</si>
  <si>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</si>
  <si>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</si>
  <si>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</si>
  <si>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</si>
  <si>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</si>
  <si>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</si>
  <si>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</si>
  <si>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</si>
  <si>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</si>
  <si>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</si>
  <si>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</si>
  <si>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</si>
  <si>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</si>
  <si>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</si>
  <si>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</si>
  <si>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</si>
  <si>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</si>
  <si>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</si>
  <si>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</si>
  <si>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</si>
  <si>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</si>
  <si>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</si>
  <si>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</si>
  <si>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</si>
  <si>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</si>
  <si>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</si>
  <si>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</si>
  <si>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</si>
  <si>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</si>
  <si>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</si>
  <si>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</si>
  <si>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</si>
  <si>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</si>
  <si>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</si>
  <si>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</si>
  <si>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</si>
  <si>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</si>
  <si>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</si>
  <si>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</si>
  <si>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</si>
  <si>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</si>
  <si>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</si>
  <si>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</si>
  <si>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</si>
  <si>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</si>
  <si>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</si>
  <si>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</si>
  <si>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</si>
  <si>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</si>
  <si>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</si>
  <si>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</si>
  <si>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</si>
  <si>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</si>
  <si>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</si>
  <si>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</si>
  <si>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</si>
  <si>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</si>
  <si>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</si>
  <si>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</si>
  <si>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</si>
  <si>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</si>
  <si>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</si>
  <si>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</si>
  <si>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</si>
  <si>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</si>
  <si>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</si>
  <si>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</si>
  <si>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</si>
  <si>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</si>
  <si>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</si>
  <si>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</si>
  <si>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</si>
  <si>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</si>
  <si>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</si>
  <si>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</si>
  <si>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</si>
  <si>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</si>
  <si>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</si>
  <si>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</si>
  <si>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</si>
  <si>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</si>
  <si>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</si>
  <si>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</si>
  <si>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</si>
  <si>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</si>
  <si>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</si>
  <si>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</si>
  <si>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</si>
  <si>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</si>
  <si>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</si>
  <si>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</si>
  <si>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</si>
  <si>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</si>
  <si>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</si>
  <si>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</si>
  <si>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</si>
  <si>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</si>
  <si>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</si>
  <si>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</si>
  <si>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</si>
  <si>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</si>
  <si>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</si>
  <si>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</si>
  <si>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</si>
  <si>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</si>
  <si>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</si>
  <si>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</si>
  <si>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</si>
  <si>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</si>
  <si>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</si>
  <si>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</si>
  <si>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</si>
  <si>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</si>
  <si>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</si>
  <si>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</si>
  <si>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</si>
  <si>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</si>
  <si>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</si>
  <si>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</si>
  <si>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</si>
  <si>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</si>
  <si>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</si>
  <si>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</si>
  <si>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</si>
  <si>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</si>
  <si>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</si>
  <si>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</si>
  <si>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</si>
  <si>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</si>
  <si>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</si>
  <si>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</si>
  <si>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</si>
  <si>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</si>
  <si>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</si>
  <si>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</si>
  <si>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</si>
  <si>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</si>
  <si>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</si>
  <si>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</si>
  <si>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</si>
  <si>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</si>
  <si>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</si>
  <si>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</si>
  <si>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</si>
  <si>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</si>
  <si>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</si>
  <si>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</si>
  <si>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</si>
  <si>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</si>
  <si>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</si>
  <si>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</si>
  <si>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</si>
  <si>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</si>
  <si>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</si>
  <si>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</si>
  <si>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</si>
  <si>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</si>
  <si>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</si>
  <si>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</si>
  <si>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</si>
  <si>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</si>
  <si>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</si>
  <si>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</si>
  <si>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</si>
  <si>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</si>
  <si>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</si>
  <si>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</si>
  <si>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</si>
  <si>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</si>
  <si>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</si>
  <si>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</si>
  <si>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</si>
  <si>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</si>
  <si>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</si>
  <si>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</si>
  <si>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</si>
  <si>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</si>
  <si>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</si>
  <si>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</si>
  <si>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</si>
  <si>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</si>
  <si>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</si>
  <si>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</si>
  <si>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</si>
  <si>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</si>
  <si>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</si>
  <si>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</si>
  <si>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</si>
  <si>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</si>
  <si>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</si>
  <si>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</si>
  <si>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</si>
  <si>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</si>
  <si>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</si>
  <si>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</si>
  <si>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</si>
  <si>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</si>
  <si>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</si>
  <si>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</si>
  <si>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</si>
  <si>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</si>
  <si>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</si>
  <si>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</si>
  <si>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</si>
  <si>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</si>
  <si>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</si>
  <si>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</si>
  <si>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</si>
  <si>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</si>
  <si>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</si>
  <si>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</si>
  <si>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</si>
  <si>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</si>
  <si>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</si>
  <si>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</si>
  <si>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</si>
  <si>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</si>
  <si>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</si>
  <si>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</si>
  <si>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</si>
  <si>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</si>
  <si>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</si>
  <si>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</si>
  <si>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</si>
  <si>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</si>
  <si>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</si>
  <si>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</si>
  <si>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</si>
  <si>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</si>
  <si>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</si>
  <si>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</si>
  <si>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</si>
  <si>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</si>
  <si>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</si>
  <si>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</si>
  <si>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</si>
  <si>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</si>
  <si>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</si>
  <si>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</si>
  <si>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</si>
  <si>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</si>
  <si>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</si>
  <si>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</si>
  <si>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</si>
  <si>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</si>
  <si>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</si>
  <si>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</si>
  <si>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</si>
  <si>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</si>
  <si>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</si>
  <si>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</si>
  <si>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</si>
  <si>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</si>
  <si>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</si>
  <si>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</si>
  <si>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</si>
  <si>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</si>
  <si>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</si>
  <si>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</si>
  <si>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</si>
  <si>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</si>
  <si>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</si>
  <si>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</si>
  <si>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</si>
  <si>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</si>
  <si>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</si>
  <si>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</si>
  <si>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</si>
  <si>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</si>
  <si>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</si>
  <si>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</si>
  <si>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</si>
  <si>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</si>
  <si>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</si>
  <si>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</si>
  <si>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</si>
  <si>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</si>
  <si>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</si>
  <si>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</si>
  <si>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</si>
  <si>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</si>
  <si>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</si>
  <si>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</si>
  <si>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</si>
  <si>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</si>
  <si>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</si>
  <si>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</si>
  <si>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</si>
  <si>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</si>
  <si>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</si>
  <si>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</si>
  <si>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</si>
  <si>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</si>
  <si>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</si>
  <si>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</si>
  <si>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</si>
  <si>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</si>
  <si>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</si>
  <si>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</si>
  <si>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</si>
  <si>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</si>
  <si>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</si>
  <si>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</si>
  <si>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</si>
  <si>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</si>
  <si>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</si>
  <si>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</si>
  <si>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</si>
  <si>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</si>
  <si>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</si>
  <si>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</si>
  <si>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</si>
  <si>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</si>
  <si>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</si>
  <si>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</si>
  <si>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</si>
  <si>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</si>
  <si>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</si>
  <si>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</si>
  <si>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</si>
  <si>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</si>
  <si>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</si>
  <si>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</si>
  <si>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</si>
  <si>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</si>
  <si>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</si>
  <si>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</si>
  <si>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</si>
  <si>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</si>
  <si>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</si>
  <si>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</si>
  <si>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</si>
  <si>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</si>
  <si>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</si>
  <si>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</si>
  <si>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</si>
  <si>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</si>
  <si>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</si>
  <si>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</si>
  <si>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</si>
  <si>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</si>
  <si>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</si>
  <si>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</si>
  <si>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</si>
  <si>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</si>
  <si>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</si>
  <si>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</si>
  <si>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</si>
  <si>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</si>
  <si>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</si>
  <si>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</si>
  <si>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</si>
  <si>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</si>
  <si>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</si>
  <si>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</si>
  <si>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</si>
  <si>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</si>
  <si>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</si>
  <si>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</si>
  <si>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</si>
  <si>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</si>
  <si>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</si>
  <si>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</si>
  <si>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</si>
  <si>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</si>
  <si>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</si>
  <si>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</si>
  <si>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</si>
  <si>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</si>
  <si>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</si>
  <si>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</si>
  <si>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</si>
  <si>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</si>
  <si>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</si>
  <si>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</si>
  <si>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</si>
  <si>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</si>
  <si>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</si>
  <si>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</si>
  <si>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</si>
  <si>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</si>
  <si>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</si>
  <si>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</si>
  <si>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</si>
  <si>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</si>
  <si>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</si>
  <si>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</si>
  <si>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</si>
  <si>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</si>
  <si>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</si>
  <si>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</si>
  <si>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</si>
  <si>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</si>
  <si>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</si>
  <si>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</si>
  <si>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</si>
  <si>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</si>
  <si>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</si>
  <si>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</si>
  <si>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</si>
  <si>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</si>
  <si>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</si>
  <si>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</si>
  <si>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</si>
  <si>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</si>
  <si>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</si>
  <si>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</si>
  <si>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</si>
  <si>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</si>
  <si>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</si>
  <si>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</si>
  <si>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</si>
  <si>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</si>
  <si>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</si>
  <si>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</si>
  <si>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</si>
  <si>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</si>
  <si>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</si>
  <si>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</si>
  <si>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</si>
  <si>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</si>
  <si>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</si>
  <si>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</si>
  <si>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</si>
  <si>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</si>
  <si>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</si>
  <si>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</si>
  <si>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</si>
  <si>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</si>
  <si>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</si>
  <si>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</si>
  <si>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</si>
  <si>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</si>
  <si>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</si>
  <si>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</si>
  <si>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</si>
  <si>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</si>
  <si>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</si>
  <si>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</si>
  <si>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</si>
  <si>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</si>
  <si>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</si>
  <si>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</si>
  <si>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</si>
  <si>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</si>
  <si>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</si>
  <si>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</si>
  <si>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</si>
  <si>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</si>
  <si>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</si>
  <si>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</si>
  <si>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</si>
  <si>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</si>
  <si>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</si>
  <si>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</si>
  <si>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</si>
  <si>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</si>
  <si>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</si>
  <si>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</si>
  <si>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</si>
  <si>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</si>
  <si>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</si>
  <si>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</si>
  <si>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</si>
  <si>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</si>
  <si>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</si>
  <si>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</si>
  <si>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</si>
  <si>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</si>
  <si>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</si>
  <si>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</si>
  <si>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</si>
  <si>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</si>
  <si>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</si>
  <si>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</si>
  <si>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</si>
  <si>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</si>
  <si>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</si>
  <si>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</si>
  <si>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</si>
  <si>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</si>
  <si>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</si>
  <si>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</si>
  <si>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</si>
  <si>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</si>
  <si>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</si>
  <si>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</si>
  <si>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</si>
  <si>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</si>
  <si>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</si>
  <si>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</si>
  <si>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</si>
  <si>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</si>
  <si>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</si>
  <si>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</si>
  <si>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</si>
  <si>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</si>
  <si>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</si>
  <si>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</si>
  <si>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</si>
  <si>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</si>
  <si>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</si>
  <si>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</si>
  <si>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</si>
  <si>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</si>
  <si>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</si>
  <si>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</si>
  <si>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24009</t>
  </si>
  <si>
    <t>BERTEM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</si>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</sst>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88993.258540222785</c:v>
                </c:pt>
                <c:pt idx="1">
                  <c:v>20700.958824766833</c:v>
                </c:pt>
                <c:pt idx="2">
                  <c:v>503.37900000000002</c:v>
                </c:pt>
                <c:pt idx="3">
                  <c:v>1047.9075809568151</c:v>
                </c:pt>
                <c:pt idx="4">
                  <c:v>1761.2953024915166</c:v>
                </c:pt>
                <c:pt idx="5">
                  <c:v>205314.8120961625</c:v>
                </c:pt>
                <c:pt idx="6">
                  <c:v>3477.691325693314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53696"/>
        <c:axId val="182655232"/>
      </c:barChart>
      <c:catAx>
        <c:axId val="182653696"/>
        <c:scaling>
          <c:orientation val="minMax"/>
        </c:scaling>
        <c:axPos val="b"/>
        <c:numFmt formatCode="General" sourceLinked="0"/>
        <c:tickLblPos val="nextTo"/>
        <c:crossAx val="182655232"/>
        <c:crosses val="autoZero"/>
        <c:auto val="1"/>
        <c:lblAlgn val="ctr"/>
        <c:lblOffset val="100"/>
      </c:catAx>
      <c:valAx>
        <c:axId val="182655232"/>
        <c:scaling>
          <c:orientation val="minMax"/>
        </c:scaling>
        <c:axPos val="l"/>
        <c:majorGridlines/>
        <c:numFmt formatCode="#,##0" sourceLinked="1"/>
        <c:tickLblPos val="nextTo"/>
        <c:crossAx val="1826536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88993.258540222785</c:v>
                </c:pt>
                <c:pt idx="1">
                  <c:v>20700.958824766833</c:v>
                </c:pt>
                <c:pt idx="2">
                  <c:v>503.37900000000002</c:v>
                </c:pt>
                <c:pt idx="3">
                  <c:v>1047.9075809568151</c:v>
                </c:pt>
                <c:pt idx="4">
                  <c:v>1761.2953024915166</c:v>
                </c:pt>
                <c:pt idx="5">
                  <c:v>205314.8120961625</c:v>
                </c:pt>
                <c:pt idx="6">
                  <c:v>3477.691325693314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18618.806966517157</c:v>
                </c:pt>
                <c:pt idx="2">
                  <c:v>3949.6792663367637</c:v>
                </c:pt>
                <c:pt idx="3">
                  <c:v>103.80292954750703</c:v>
                </c:pt>
                <c:pt idx="4">
                  <c:v>259.46450071580051</c:v>
                </c:pt>
                <c:pt idx="5">
                  <c:v>349.66917276088617</c:v>
                </c:pt>
                <c:pt idx="6">
                  <c:v>51845.573808558373</c:v>
                </c:pt>
                <c:pt idx="7">
                  <c:v>889.00725681226356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66976"/>
        <c:axId val="182768768"/>
      </c:barChart>
      <c:catAx>
        <c:axId val="182766976"/>
        <c:scaling>
          <c:orientation val="minMax"/>
        </c:scaling>
        <c:axPos val="b"/>
        <c:numFmt formatCode="General" sourceLinked="0"/>
        <c:tickLblPos val="nextTo"/>
        <c:crossAx val="182768768"/>
        <c:crosses val="autoZero"/>
        <c:auto val="1"/>
        <c:lblAlgn val="ctr"/>
        <c:lblOffset val="100"/>
      </c:catAx>
      <c:valAx>
        <c:axId val="182768768"/>
        <c:scaling>
          <c:orientation val="minMax"/>
        </c:scaling>
        <c:axPos val="l"/>
        <c:majorGridlines/>
        <c:numFmt formatCode="#,##0" sourceLinked="1"/>
        <c:tickLblPos val="nextTo"/>
        <c:crossAx val="1827669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18618.806966517157</c:v>
                </c:pt>
                <c:pt idx="2">
                  <c:v>3949.6792663367637</c:v>
                </c:pt>
                <c:pt idx="3">
                  <c:v>103.80292954750703</c:v>
                </c:pt>
                <c:pt idx="4">
                  <c:v>259.46450071580051</c:v>
                </c:pt>
                <c:pt idx="5">
                  <c:v>349.66917276088617</c:v>
                </c:pt>
                <c:pt idx="6">
                  <c:v>51845.573808558373</c:v>
                </c:pt>
                <c:pt idx="7">
                  <c:v>889.00725681226356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24009</v>
      </c>
      <c r="B6" s="398"/>
      <c r="C6" s="399"/>
    </row>
    <row r="7" spans="1:7" s="396" customFormat="1" ht="15.75" customHeight="1">
      <c r="A7" s="400" t="str">
        <f>txtMunicipality</f>
        <v>BERTEM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0.20621227653022281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0.20621227653022281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24009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3739</v>
      </c>
      <c r="C9" s="338">
        <v>4080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1810</v>
      </c>
    </row>
    <row r="15" spans="1:6">
      <c r="A15" s="1295" t="s">
        <v>184</v>
      </c>
      <c r="B15" s="335">
        <v>2</v>
      </c>
    </row>
    <row r="16" spans="1:6">
      <c r="A16" s="1295" t="s">
        <v>6</v>
      </c>
      <c r="B16" s="335">
        <v>102</v>
      </c>
    </row>
    <row r="17" spans="1:6">
      <c r="A17" s="1295" t="s">
        <v>7</v>
      </c>
      <c r="B17" s="335">
        <v>359</v>
      </c>
    </row>
    <row r="18" spans="1:6">
      <c r="A18" s="1295" t="s">
        <v>8</v>
      </c>
      <c r="B18" s="335">
        <v>395</v>
      </c>
    </row>
    <row r="19" spans="1:6">
      <c r="A19" s="1295" t="s">
        <v>9</v>
      </c>
      <c r="B19" s="335">
        <v>321</v>
      </c>
    </row>
    <row r="20" spans="1:6">
      <c r="A20" s="1295" t="s">
        <v>10</v>
      </c>
      <c r="B20" s="335">
        <v>360</v>
      </c>
    </row>
    <row r="21" spans="1:6">
      <c r="A21" s="1295" t="s">
        <v>11</v>
      </c>
      <c r="B21" s="335">
        <v>0</v>
      </c>
    </row>
    <row r="22" spans="1:6">
      <c r="A22" s="1295" t="s">
        <v>12</v>
      </c>
      <c r="B22" s="335">
        <v>2</v>
      </c>
    </row>
    <row r="23" spans="1:6">
      <c r="A23" s="1295" t="s">
        <v>13</v>
      </c>
      <c r="B23" s="335">
        <v>0</v>
      </c>
    </row>
    <row r="24" spans="1:6">
      <c r="A24" s="1295" t="s">
        <v>14</v>
      </c>
      <c r="B24" s="335">
        <v>0</v>
      </c>
    </row>
    <row r="25" spans="1:6">
      <c r="A25" s="1295" t="s">
        <v>15</v>
      </c>
      <c r="B25" s="335">
        <v>0</v>
      </c>
    </row>
    <row r="26" spans="1:6">
      <c r="A26" s="1295" t="s">
        <v>16</v>
      </c>
      <c r="B26" s="335">
        <v>140</v>
      </c>
    </row>
    <row r="27" spans="1:6">
      <c r="A27" s="1295" t="s">
        <v>17</v>
      </c>
      <c r="B27" s="335">
        <v>18</v>
      </c>
    </row>
    <row r="28" spans="1:6" s="341" customFormat="1">
      <c r="A28" s="1296" t="s">
        <v>18</v>
      </c>
      <c r="B28" s="1296">
        <v>15</v>
      </c>
    </row>
    <row r="29" spans="1:6">
      <c r="A29" s="1296" t="s">
        <v>909</v>
      </c>
      <c r="B29" s="1296">
        <v>62</v>
      </c>
      <c r="C29" s="341"/>
      <c r="D29" s="341"/>
      <c r="E29" s="341"/>
      <c r="F29" s="341"/>
    </row>
    <row r="30" spans="1:6">
      <c r="A30" s="1291" t="s">
        <v>910</v>
      </c>
      <c r="B30" s="1291">
        <v>35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3</v>
      </c>
      <c r="F35" s="335">
        <v>6415.5214048833996</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2015</v>
      </c>
      <c r="D39" s="335">
        <v>43687853.495126501</v>
      </c>
      <c r="E39" s="335">
        <v>3671</v>
      </c>
      <c r="F39" s="335">
        <v>15490460.469905401</v>
      </c>
    </row>
    <row r="40" spans="1:6">
      <c r="A40" s="1295" t="s">
        <v>30</v>
      </c>
      <c r="B40" s="1295" t="s">
        <v>29</v>
      </c>
      <c r="C40" s="335">
        <v>0</v>
      </c>
      <c r="D40" s="335">
        <v>0</v>
      </c>
      <c r="E40" s="335">
        <v>0</v>
      </c>
      <c r="F40" s="335">
        <v>0</v>
      </c>
    </row>
    <row r="41" spans="1:6">
      <c r="A41" s="1295" t="s">
        <v>32</v>
      </c>
      <c r="B41" s="1295" t="s">
        <v>33</v>
      </c>
      <c r="C41" s="335">
        <v>3</v>
      </c>
      <c r="D41" s="335">
        <v>45913.3335467211</v>
      </c>
      <c r="E41" s="335">
        <v>33</v>
      </c>
      <c r="F41" s="335">
        <v>243339.34186583001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68219.664216615201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19</v>
      </c>
      <c r="D48" s="335">
        <v>621367.62466083304</v>
      </c>
      <c r="E48" s="335">
        <v>23</v>
      </c>
      <c r="F48" s="335">
        <v>299173.60567395802</v>
      </c>
    </row>
    <row r="49" spans="1:6">
      <c r="A49" s="1295" t="s">
        <v>32</v>
      </c>
      <c r="B49" s="1295" t="s">
        <v>40</v>
      </c>
      <c r="C49" s="335">
        <v>0</v>
      </c>
      <c r="D49" s="335">
        <v>0</v>
      </c>
      <c r="E49" s="335">
        <v>0</v>
      </c>
      <c r="F49" s="335">
        <v>0</v>
      </c>
    </row>
    <row r="50" spans="1:6">
      <c r="A50" s="1295" t="s">
        <v>32</v>
      </c>
      <c r="B50" s="1295" t="s">
        <v>41</v>
      </c>
      <c r="C50" s="335">
        <v>0</v>
      </c>
      <c r="D50" s="335">
        <v>0</v>
      </c>
      <c r="E50" s="335">
        <v>7</v>
      </c>
      <c r="F50" s="335">
        <v>25629.050192377101</v>
      </c>
    </row>
    <row r="51" spans="1:6">
      <c r="A51" s="1295" t="s">
        <v>42</v>
      </c>
      <c r="B51" s="1295" t="s">
        <v>43</v>
      </c>
      <c r="C51" s="335">
        <v>0</v>
      </c>
      <c r="D51" s="335">
        <v>0</v>
      </c>
      <c r="E51" s="335">
        <v>13</v>
      </c>
      <c r="F51" s="335">
        <v>82706.061407303307</v>
      </c>
    </row>
    <row r="52" spans="1:6">
      <c r="A52" s="1295" t="s">
        <v>42</v>
      </c>
      <c r="B52" s="1295" t="s">
        <v>29</v>
      </c>
      <c r="C52" s="335">
        <v>7</v>
      </c>
      <c r="D52" s="335">
        <v>190558.60923493499</v>
      </c>
      <c r="E52" s="335">
        <v>16</v>
      </c>
      <c r="F52" s="335">
        <v>107187.29612520699</v>
      </c>
    </row>
    <row r="53" spans="1:6">
      <c r="A53" s="1295" t="s">
        <v>44</v>
      </c>
      <c r="B53" s="1295" t="s">
        <v>45</v>
      </c>
      <c r="C53" s="335">
        <v>43</v>
      </c>
      <c r="D53" s="335">
        <v>1180173.1898881299</v>
      </c>
      <c r="E53" s="335">
        <v>90</v>
      </c>
      <c r="F53" s="335">
        <v>395278.54042811401</v>
      </c>
    </row>
    <row r="54" spans="1:6">
      <c r="A54" s="1295" t="s">
        <v>46</v>
      </c>
      <c r="B54" s="1295" t="s">
        <v>47</v>
      </c>
      <c r="C54" s="335">
        <v>0</v>
      </c>
      <c r="D54" s="335">
        <v>0</v>
      </c>
      <c r="E54" s="335">
        <v>1</v>
      </c>
      <c r="F54" s="335">
        <v>503379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11</v>
      </c>
      <c r="D57" s="335">
        <v>355093.20874352299</v>
      </c>
      <c r="E57" s="335">
        <v>26</v>
      </c>
      <c r="F57" s="335">
        <v>2529547.0753324698</v>
      </c>
    </row>
    <row r="58" spans="1:6">
      <c r="A58" s="1295" t="s">
        <v>49</v>
      </c>
      <c r="B58" s="1295" t="s">
        <v>51</v>
      </c>
      <c r="C58" s="335">
        <v>3</v>
      </c>
      <c r="D58" s="335">
        <v>1099475.8780320501</v>
      </c>
      <c r="E58" s="335">
        <v>6</v>
      </c>
      <c r="F58" s="335">
        <v>799951.92587928905</v>
      </c>
    </row>
    <row r="59" spans="1:6">
      <c r="A59" s="1295" t="s">
        <v>49</v>
      </c>
      <c r="B59" s="1295" t="s">
        <v>52</v>
      </c>
      <c r="C59" s="335">
        <v>3</v>
      </c>
      <c r="D59" s="335">
        <v>126161.06050858401</v>
      </c>
      <c r="E59" s="335">
        <v>30</v>
      </c>
      <c r="F59" s="335">
        <v>993855.17043151194</v>
      </c>
    </row>
    <row r="60" spans="1:6">
      <c r="A60" s="1295" t="s">
        <v>49</v>
      </c>
      <c r="B60" s="1295" t="s">
        <v>53</v>
      </c>
      <c r="C60" s="335">
        <v>17</v>
      </c>
      <c r="D60" s="335">
        <v>679724.91976284306</v>
      </c>
      <c r="E60" s="335">
        <v>22</v>
      </c>
      <c r="F60" s="335">
        <v>387353.875145723</v>
      </c>
    </row>
    <row r="61" spans="1:6">
      <c r="A61" s="1295" t="s">
        <v>49</v>
      </c>
      <c r="B61" s="1295" t="s">
        <v>54</v>
      </c>
      <c r="C61" s="335">
        <v>44</v>
      </c>
      <c r="D61" s="335">
        <v>3046953.6162011698</v>
      </c>
      <c r="E61" s="335">
        <v>117</v>
      </c>
      <c r="F61" s="335">
        <v>2122223.9976797099</v>
      </c>
    </row>
    <row r="62" spans="1:6">
      <c r="A62" s="1295" t="s">
        <v>49</v>
      </c>
      <c r="B62" s="1295" t="s">
        <v>55</v>
      </c>
      <c r="C62" s="335">
        <v>0</v>
      </c>
      <c r="D62" s="335">
        <v>0</v>
      </c>
      <c r="E62" s="335">
        <v>0</v>
      </c>
      <c r="F62" s="335">
        <v>0</v>
      </c>
    </row>
    <row r="63" spans="1:6">
      <c r="A63" s="1295" t="s">
        <v>49</v>
      </c>
      <c r="B63" s="1295" t="s">
        <v>29</v>
      </c>
      <c r="C63" s="335">
        <v>83</v>
      </c>
      <c r="D63" s="335">
        <v>3150733.7233858798</v>
      </c>
      <c r="E63" s="335">
        <v>128</v>
      </c>
      <c r="F63" s="335">
        <v>2243117.6613304801</v>
      </c>
    </row>
    <row r="64" spans="1:6">
      <c r="A64" s="1295" t="s">
        <v>56</v>
      </c>
      <c r="B64" s="1295" t="s">
        <v>57</v>
      </c>
      <c r="C64" s="335">
        <v>0</v>
      </c>
      <c r="D64" s="335">
        <v>0</v>
      </c>
      <c r="E64" s="335">
        <v>0</v>
      </c>
      <c r="F64" s="335">
        <v>0</v>
      </c>
    </row>
    <row r="65" spans="1:6">
      <c r="A65" s="1295" t="s">
        <v>56</v>
      </c>
      <c r="B65" s="1295" t="s">
        <v>29</v>
      </c>
      <c r="C65" s="335">
        <v>2</v>
      </c>
      <c r="D65" s="335">
        <v>63365.084427480702</v>
      </c>
      <c r="E65" s="335">
        <v>4</v>
      </c>
      <c r="F65" s="335">
        <v>89522.433820439299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15105.229267189199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40556901</v>
      </c>
      <c r="E73" s="335">
        <v>54276093.568677232</v>
      </c>
    </row>
    <row r="74" spans="1:6">
      <c r="A74" s="1295" t="s">
        <v>64</v>
      </c>
      <c r="B74" s="1295" t="s">
        <v>727</v>
      </c>
      <c r="C74" s="1295" t="s">
        <v>728</v>
      </c>
      <c r="D74" s="335">
        <v>453251.5</v>
      </c>
      <c r="E74" s="335">
        <v>493579.18226048222</v>
      </c>
    </row>
    <row r="75" spans="1:6">
      <c r="A75" s="1295" t="s">
        <v>65</v>
      </c>
      <c r="B75" s="1295" t="s">
        <v>725</v>
      </c>
      <c r="C75" s="1295" t="s">
        <v>729</v>
      </c>
      <c r="D75" s="335">
        <v>31017632</v>
      </c>
      <c r="E75" s="335">
        <v>42864461.36541447</v>
      </c>
    </row>
    <row r="76" spans="1:6">
      <c r="A76" s="1295" t="s">
        <v>65</v>
      </c>
      <c r="B76" s="1295" t="s">
        <v>727</v>
      </c>
      <c r="C76" s="1295" t="s">
        <v>730</v>
      </c>
      <c r="D76" s="335">
        <v>272969.71140316367</v>
      </c>
      <c r="E76" s="335">
        <v>322898.86917441175</v>
      </c>
    </row>
    <row r="77" spans="1:6">
      <c r="A77" s="1295" t="s">
        <v>66</v>
      </c>
      <c r="B77" s="1295" t="s">
        <v>725</v>
      </c>
      <c r="C77" s="1295" t="s">
        <v>731</v>
      </c>
      <c r="D77" s="335">
        <v>166344870</v>
      </c>
      <c r="E77" s="335">
        <v>181219874.47984859</v>
      </c>
    </row>
    <row r="78" spans="1:6">
      <c r="A78" s="1291" t="s">
        <v>66</v>
      </c>
      <c r="B78" s="1291" t="s">
        <v>727</v>
      </c>
      <c r="C78" s="1291" t="s">
        <v>732</v>
      </c>
      <c r="D78" s="1291">
        <v>14785608</v>
      </c>
      <c r="E78" s="1291">
        <v>16811902.773598034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918764.57719367265</v>
      </c>
      <c r="C83" s="335">
        <v>910716.82663210644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1808.383</v>
      </c>
    </row>
    <row r="92" spans="1:6">
      <c r="A92" s="1291" t="s">
        <v>69</v>
      </c>
      <c r="B92" s="338">
        <v>72.722290000000001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1057</v>
      </c>
    </row>
    <row r="98" spans="1:6">
      <c r="A98" s="1295" t="s">
        <v>72</v>
      </c>
      <c r="B98" s="335">
        <v>0</v>
      </c>
    </row>
    <row r="99" spans="1:6">
      <c r="A99" s="1295" t="s">
        <v>73</v>
      </c>
      <c r="B99" s="335">
        <v>29</v>
      </c>
    </row>
    <row r="100" spans="1:6">
      <c r="A100" s="1295" t="s">
        <v>74</v>
      </c>
      <c r="B100" s="335">
        <v>199</v>
      </c>
    </row>
    <row r="101" spans="1:6">
      <c r="A101" s="1295" t="s">
        <v>75</v>
      </c>
      <c r="B101" s="335">
        <v>23</v>
      </c>
    </row>
    <row r="102" spans="1:6">
      <c r="A102" s="1295" t="s">
        <v>76</v>
      </c>
      <c r="B102" s="335">
        <v>35</v>
      </c>
    </row>
    <row r="103" spans="1:6">
      <c r="A103" s="1295" t="s">
        <v>77</v>
      </c>
      <c r="B103" s="335">
        <v>76</v>
      </c>
    </row>
    <row r="104" spans="1:6">
      <c r="A104" s="1295" t="s">
        <v>78</v>
      </c>
      <c r="B104" s="335">
        <v>1854</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v>
      </c>
      <c r="C123" s="335">
        <v>9</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67</v>
      </c>
    </row>
    <row r="130" spans="1:6">
      <c r="A130" s="1295" t="s">
        <v>295</v>
      </c>
      <c r="B130" s="335">
        <v>1</v>
      </c>
    </row>
    <row r="131" spans="1:6">
      <c r="A131" s="1295" t="s">
        <v>296</v>
      </c>
      <c r="B131" s="335">
        <v>1</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28112.797073846225</v>
      </c>
      <c r="C3" s="43" t="s">
        <v>170</v>
      </c>
      <c r="D3" s="43"/>
      <c r="E3" s="156"/>
      <c r="F3" s="43"/>
      <c r="G3" s="43"/>
      <c r="H3" s="43"/>
      <c r="I3" s="43"/>
      <c r="J3" s="43"/>
      <c r="K3" s="96"/>
    </row>
    <row r="4" spans="1:11">
      <c r="A4" s="366" t="s">
        <v>171</v>
      </c>
      <c r="B4" s="49">
        <f>IF(ISERROR('SEAP template'!B78+'SEAP template'!C78),0,'SEAP template'!B78+'SEAP template'!C78)</f>
        <v>1881.10529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0.20621227653022281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503.37900000000002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503.37900000000002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0.20621227653022281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103.80292954750703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15490.4604699054</v>
      </c>
      <c r="C5" s="17">
        <f>IF(ISERROR('Eigen informatie GS &amp; warmtenet'!B57),0,'Eigen informatie GS &amp; warmtenet'!B57)</f>
        <v>0</v>
      </c>
      <c r="D5" s="30">
        <f>(SUM(HH_hh_gas_kWh,HH_rest_gas_kWh)/1000)*0.902</f>
        <v>39406.443852604105</v>
      </c>
      <c r="E5" s="17">
        <f>B46*B57</f>
        <v>1741.135384231314</v>
      </c>
      <c r="F5" s="17">
        <f>B51*B62</f>
        <v>25079.526901878071</v>
      </c>
      <c r="G5" s="18"/>
      <c r="H5" s="17"/>
      <c r="I5" s="17"/>
      <c r="J5" s="17">
        <f>B50*B61+C50*C61</f>
        <v>0</v>
      </c>
      <c r="K5" s="17"/>
      <c r="L5" s="17"/>
      <c r="M5" s="17"/>
      <c r="N5" s="17">
        <f>B48*B59+C48*C59</f>
        <v>5176.8955982705465</v>
      </c>
      <c r="O5" s="17">
        <f>B69*B70*B71</f>
        <v>118.81333333333333</v>
      </c>
      <c r="P5" s="17">
        <f>B77*B78*B79/1000-B77*B78*B79/1000/B80</f>
        <v>171.6</v>
      </c>
    </row>
    <row r="6" spans="1:16">
      <c r="A6" s="16" t="s">
        <v>634</v>
      </c>
      <c r="B6" s="783">
        <f>kWh_PV_kleiner_dan_10kW</f>
        <v>1808.383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17298.843469905401</v>
      </c>
      <c r="C8" s="21">
        <f>C5</f>
        <v>0</v>
      </c>
      <c r="D8" s="21">
        <f>D5</f>
        <v>39406.443852604105</v>
      </c>
      <c r="E8" s="21">
        <f>E5</f>
        <v>1741.135384231314</v>
      </c>
      <c r="F8" s="21">
        <f>F5</f>
        <v>25079.526901878071</v>
      </c>
      <c r="G8" s="21"/>
      <c r="H8" s="21"/>
      <c r="I8" s="21"/>
      <c r="J8" s="21">
        <f>J5</f>
        <v>0</v>
      </c>
      <c r="K8" s="21"/>
      <c r="L8" s="21">
        <f>L5</f>
        <v>0</v>
      </c>
      <c r="M8" s="21">
        <f>M5</f>
        <v>0</v>
      </c>
      <c r="N8" s="21">
        <f>N5</f>
        <v>5176.8955982705465</v>
      </c>
      <c r="O8" s="21">
        <f>O5</f>
        <v>118.81333333333333</v>
      </c>
      <c r="P8" s="21">
        <f>P5</f>
        <v>171.6</v>
      </c>
    </row>
    <row r="9" spans="1:16">
      <c r="B9" s="19"/>
      <c r="C9" s="19"/>
      <c r="D9" s="261"/>
      <c r="E9" s="19"/>
      <c r="F9" s="19"/>
      <c r="G9" s="19"/>
      <c r="H9" s="19"/>
      <c r="I9" s="19"/>
      <c r="J9" s="19"/>
      <c r="K9" s="19"/>
      <c r="L9" s="19"/>
      <c r="M9" s="19"/>
      <c r="N9" s="19"/>
      <c r="O9" s="19"/>
      <c r="P9" s="19"/>
    </row>
    <row r="10" spans="1:16">
      <c r="A10" s="24" t="s">
        <v>214</v>
      </c>
      <c r="B10" s="25">
        <f ca="1">'EF ele_warmte'!B12</f>
        <v>0.20621227653022281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3567.2338932691719</v>
      </c>
      <c r="C12" s="23">
        <f ca="1">C10*C8</f>
        <v>0</v>
      </c>
      <c r="D12" s="23">
        <f>D8*D10</f>
        <v>7960.1016582260299</v>
      </c>
      <c r="E12" s="23">
        <f>E10*E8</f>
        <v>395.23773222050829</v>
      </c>
      <c r="F12" s="23">
        <f>F10*F8</f>
        <v>6696.233682801445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1057</v>
      </c>
      <c r="C18" s="168" t="s">
        <v>111</v>
      </c>
      <c r="D18" s="230"/>
      <c r="E18" s="15"/>
    </row>
    <row r="19" spans="1:7">
      <c r="A19" s="173" t="s">
        <v>72</v>
      </c>
      <c r="B19" s="37">
        <f>aantalw2001_ander</f>
        <v>0</v>
      </c>
      <c r="C19" s="168" t="s">
        <v>111</v>
      </c>
      <c r="D19" s="231"/>
      <c r="E19" s="15"/>
    </row>
    <row r="20" spans="1:7">
      <c r="A20" s="173" t="s">
        <v>73</v>
      </c>
      <c r="B20" s="37">
        <f>aantalw2001_propaan</f>
        <v>29</v>
      </c>
      <c r="C20" s="169">
        <f>IF(ISERROR(B20/SUM($B$20,$B$21,$B$22)*100),0,B20/SUM($B$20,$B$21,$B$22)*100)</f>
        <v>11.553784860557768</v>
      </c>
      <c r="D20" s="231"/>
      <c r="E20" s="15"/>
    </row>
    <row r="21" spans="1:7">
      <c r="A21" s="173" t="s">
        <v>74</v>
      </c>
      <c r="B21" s="37">
        <f>aantalw2001_elektriciteit</f>
        <v>199</v>
      </c>
      <c r="C21" s="169">
        <f>IF(ISERROR(B21/SUM($B$20,$B$21,$B$22)*100),0,B21/SUM($B$20,$B$21,$B$22)*100)</f>
        <v>79.282868525896404</v>
      </c>
      <c r="D21" s="231"/>
      <c r="E21" s="15"/>
    </row>
    <row r="22" spans="1:7">
      <c r="A22" s="173" t="s">
        <v>75</v>
      </c>
      <c r="B22" s="37">
        <f>aantalw2001_hout</f>
        <v>23</v>
      </c>
      <c r="C22" s="169">
        <f>IF(ISERROR(B22/SUM($B$20,$B$21,$B$22)*100),0,B22/SUM($B$20,$B$21,$B$22)*100)</f>
        <v>9.1633466135458175</v>
      </c>
      <c r="D22" s="231"/>
      <c r="E22" s="15"/>
    </row>
    <row r="23" spans="1:7">
      <c r="A23" s="173" t="s">
        <v>76</v>
      </c>
      <c r="B23" s="37">
        <f>aantalw2001_niet_gespec</f>
        <v>35</v>
      </c>
      <c r="C23" s="168" t="s">
        <v>111</v>
      </c>
      <c r="D23" s="230"/>
      <c r="E23" s="15"/>
    </row>
    <row r="24" spans="1:7">
      <c r="A24" s="173" t="s">
        <v>77</v>
      </c>
      <c r="B24" s="37">
        <f>aantalw2001_steenkool</f>
        <v>76</v>
      </c>
      <c r="C24" s="168" t="s">
        <v>111</v>
      </c>
      <c r="D24" s="231"/>
      <c r="E24" s="15"/>
    </row>
    <row r="25" spans="1:7">
      <c r="A25" s="173" t="s">
        <v>78</v>
      </c>
      <c r="B25" s="37">
        <f>aantalw2001_stookolie</f>
        <v>1854</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3739</v>
      </c>
      <c r="C28" s="36"/>
      <c r="D28" s="230"/>
    </row>
    <row r="29" spans="1:7" s="15" customFormat="1">
      <c r="A29" s="232" t="s">
        <v>746</v>
      </c>
      <c r="B29" s="37">
        <f>SUM(HH_hh_gas_aantal,HH_rest_gas_aantal)</f>
        <v>2015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2015</v>
      </c>
      <c r="C32" s="169">
        <f>IF(ISERROR(B32/SUM($B$32,$B$34,$B$35,$B$36,$B$38,$B$39)*100),0,B32/SUM($B$32,$B$34,$B$35,$B$36,$B$38,$B$39)*100)</f>
        <v>54.021447721179626</v>
      </c>
      <c r="D32" s="235"/>
      <c r="G32" s="15"/>
    </row>
    <row r="33" spans="1:7">
      <c r="A33" s="173" t="s">
        <v>72</v>
      </c>
      <c r="B33" s="34" t="s">
        <v>111</v>
      </c>
      <c r="C33" s="169"/>
      <c r="D33" s="235"/>
      <c r="G33" s="15"/>
    </row>
    <row r="34" spans="1:7">
      <c r="A34" s="173" t="s">
        <v>73</v>
      </c>
      <c r="B34" s="33">
        <f>IF((($B$28-$B$32-$B$39-$B$77-$B$38)*C20/100)&lt;0,0,($B$28-$B$32-$B$39-$B$77-$B$38)*C20/100)</f>
        <v>83.55697211155379</v>
      </c>
      <c r="C34" s="169">
        <f>IF(ISERROR(B34/SUM($B$32,$B$34,$B$35,$B$36,$B$38,$B$39)*100),0,B34/SUM($B$32,$B$34,$B$35,$B$36,$B$38,$B$39)*100)</f>
        <v>2.2401333005778494</v>
      </c>
      <c r="D34" s="235"/>
      <c r="G34" s="15"/>
    </row>
    <row r="35" spans="1:7">
      <c r="A35" s="173" t="s">
        <v>74</v>
      </c>
      <c r="B35" s="33">
        <f>IF((($B$28-$B$32-$B$39-$B$77-$B$38)*C21/100)&lt;0,0,($B$28-$B$32-$B$39-$B$77-$B$38)*C21/100)</f>
        <v>573.37370517928287</v>
      </c>
      <c r="C35" s="169">
        <f>IF(ISERROR(B35/SUM($B$32,$B$34,$B$35,$B$36,$B$38,$B$39)*100),0,B35/SUM($B$32,$B$34,$B$35,$B$36,$B$38,$B$39)*100)</f>
        <v>15.371949200516966</v>
      </c>
      <c r="D35" s="235"/>
      <c r="G35" s="15"/>
    </row>
    <row r="36" spans="1:7">
      <c r="A36" s="173" t="s">
        <v>75</v>
      </c>
      <c r="B36" s="33">
        <f>IF((($B$28-$B$32-$B$39-$B$77-$B$38)*C22/100)&lt;0,0,($B$28-$B$32-$B$39-$B$77-$B$38)*C22/100)</f>
        <v>66.269322709163347</v>
      </c>
      <c r="C36" s="169">
        <f>IF(ISERROR(B36/SUM($B$32,$B$34,$B$35,$B$36,$B$38,$B$39)*100),0,B36/SUM($B$32,$B$34,$B$35,$B$36,$B$38,$B$39)*100)</f>
        <v>1.7766574452858805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991.8</v>
      </c>
      <c r="C39" s="169">
        <f>IF(ISERROR(B39/SUM($B$32,$B$34,$B$35,$B$36,$B$38,$B$39)*100),0,B39/SUM($B$32,$B$34,$B$35,$B$36,$B$38,$B$39)*100)</f>
        <v>26.589812332439678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2015</v>
      </c>
      <c r="C44" s="34" t="s">
        <v>111</v>
      </c>
      <c r="D44" s="176"/>
    </row>
    <row r="45" spans="1:7">
      <c r="A45" s="173" t="s">
        <v>72</v>
      </c>
      <c r="B45" s="33" t="str">
        <f t="shared" si="0"/>
        <v>-</v>
      </c>
      <c r="C45" s="34" t="s">
        <v>111</v>
      </c>
      <c r="D45" s="176"/>
    </row>
    <row r="46" spans="1:7">
      <c r="A46" s="173" t="s">
        <v>73</v>
      </c>
      <c r="B46" s="33">
        <f t="shared" si="0"/>
        <v>83.55697211155379</v>
      </c>
      <c r="C46" s="34" t="s">
        <v>111</v>
      </c>
      <c r="D46" s="176"/>
    </row>
    <row r="47" spans="1:7">
      <c r="A47" s="173" t="s">
        <v>74</v>
      </c>
      <c r="B47" s="33">
        <f t="shared" si="0"/>
        <v>573.37370517928287</v>
      </c>
      <c r="C47" s="34" t="s">
        <v>111</v>
      </c>
      <c r="D47" s="176"/>
    </row>
    <row r="48" spans="1:7">
      <c r="A48" s="173" t="s">
        <v>75</v>
      </c>
      <c r="B48" s="33">
        <f t="shared" si="0"/>
        <v>66.269322709163347</v>
      </c>
      <c r="C48" s="33">
        <f>B48*10</f>
        <v>662.6932270916335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991.8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9076.0497057991834</v>
      </c>
      <c r="C5" s="17">
        <f>IF(ISERROR('Eigen informatie GS &amp; warmtenet'!B58),0,'Eigen informatie GS &amp; warmtenet'!B58)</f>
        <v>0</v>
      </c>
      <c r="D5" s="30">
        <f>SUM(D6:D12)</f>
        <v>7629.2444507839136</v>
      </c>
      <c r="E5" s="17">
        <f>SUM(E6:E12)</f>
        <v>84.085322001636456</v>
      </c>
      <c r="F5" s="17">
        <f>SUM(F6:F12)</f>
        <v>1939.6690915720346</v>
      </c>
      <c r="G5" s="18"/>
      <c r="H5" s="17"/>
      <c r="I5" s="17"/>
      <c r="J5" s="17">
        <f>SUM(J6:J12)</f>
        <v>0</v>
      </c>
      <c r="K5" s="17"/>
      <c r="L5" s="17"/>
      <c r="M5" s="17"/>
      <c r="N5" s="17">
        <f>SUM(N6:N12)</f>
        <v>1951.2802546100634</v>
      </c>
      <c r="O5" s="17">
        <f>B38*B39*B40</f>
        <v>1.5633333333333335</v>
      </c>
      <c r="P5" s="17">
        <f>B46*B47*B48/1000-B46*B47*B48/1000/B49</f>
        <v>19.066666666666666</v>
      </c>
      <c r="R5" s="32"/>
    </row>
    <row r="6" spans="1:18">
      <c r="A6" s="32" t="s">
        <v>54</v>
      </c>
      <c r="B6" s="37">
        <f>B26</f>
        <v>2122.22399767971</v>
      </c>
      <c r="C6" s="33"/>
      <c r="D6" s="37">
        <f>IF(ISERROR(TER_kantoor_gas_kWh/1000),0,TER_kantoor_gas_kWh/1000)*0.902</f>
        <v>2748.3521618134555</v>
      </c>
      <c r="E6" s="33">
        <f>$C$26*'E Balans VL '!I12/100/3.6*1000000</f>
        <v>8.2452895319844348</v>
      </c>
      <c r="F6" s="33">
        <f>$C$26*('E Balans VL '!L12+'E Balans VL '!N12)/100/3.6*1000000</f>
        <v>322.77095934828753</v>
      </c>
      <c r="G6" s="34"/>
      <c r="H6" s="33"/>
      <c r="I6" s="33"/>
      <c r="J6" s="33">
        <f>$C$26*('E Balans VL '!D12+'E Balans VL '!E12)/100/3.6*1000000</f>
        <v>0</v>
      </c>
      <c r="K6" s="33"/>
      <c r="L6" s="33"/>
      <c r="M6" s="33"/>
      <c r="N6" s="33">
        <f>$C$26*'E Balans VL '!Y12/100/3.6*1000000</f>
        <v>1.1695996588953828</v>
      </c>
      <c r="O6" s="33"/>
      <c r="P6" s="33"/>
      <c r="R6" s="32"/>
    </row>
    <row r="7" spans="1:18">
      <c r="A7" s="32" t="s">
        <v>53</v>
      </c>
      <c r="B7" s="37">
        <f t="shared" ref="B7:B12" si="0">B27</f>
        <v>387.35387514572301</v>
      </c>
      <c r="C7" s="33"/>
      <c r="D7" s="37">
        <f>IF(ISERROR(TER_horeca_gas_kWh/1000),0,TER_horeca_gas_kWh/1000)*0.902</f>
        <v>613.11187762608438</v>
      </c>
      <c r="E7" s="33">
        <f>$C$27*'E Balans VL '!I9/100/3.6*1000000</f>
        <v>21.819747348226503</v>
      </c>
      <c r="F7" s="33">
        <f>$C$27*('E Balans VL '!L9+'E Balans VL '!N9)/100/3.6*1000000</f>
        <v>111.68966718893037</v>
      </c>
      <c r="G7" s="34"/>
      <c r="H7" s="33"/>
      <c r="I7" s="33"/>
      <c r="J7" s="33">
        <f>$C$27*('E Balans VL '!D9+'E Balans VL '!E9)/100/3.6*1000000</f>
        <v>0</v>
      </c>
      <c r="K7" s="33"/>
      <c r="L7" s="33"/>
      <c r="M7" s="33"/>
      <c r="N7" s="33">
        <f>$C$27*'E Balans VL '!Y9/100/3.6*1000000</f>
        <v>0.10694639204761315</v>
      </c>
      <c r="O7" s="33"/>
      <c r="P7" s="33"/>
      <c r="R7" s="32"/>
    </row>
    <row r="8" spans="1:18">
      <c r="A8" s="6" t="s">
        <v>52</v>
      </c>
      <c r="B8" s="37">
        <f t="shared" si="0"/>
        <v>993.85517043151197</v>
      </c>
      <c r="C8" s="33"/>
      <c r="D8" s="37">
        <f>IF(ISERROR(TER_handel_gas_kWh/1000),0,TER_handel_gas_kWh/1000)*0.902</f>
        <v>113.79727657874277</v>
      </c>
      <c r="E8" s="33">
        <f>$C$28*'E Balans VL '!I13/100/3.6*1000000</f>
        <v>14.324824821097765</v>
      </c>
      <c r="F8" s="33">
        <f>$C$28*('E Balans VL '!L13+'E Balans VL '!N13)/100/3.6*1000000</f>
        <v>172.65578842905299</v>
      </c>
      <c r="G8" s="34"/>
      <c r="H8" s="33"/>
      <c r="I8" s="33"/>
      <c r="J8" s="33">
        <f>$C$28*('E Balans VL '!D13+'E Balans VL '!E13)/100/3.6*1000000</f>
        <v>0</v>
      </c>
      <c r="K8" s="33"/>
      <c r="L8" s="33"/>
      <c r="M8" s="33"/>
      <c r="N8" s="33">
        <f>$C$28*'E Balans VL '!Y13/100/3.6*1000000</f>
        <v>2.9777007288495465</v>
      </c>
      <c r="O8" s="33"/>
      <c r="P8" s="33"/>
      <c r="R8" s="32"/>
    </row>
    <row r="9" spans="1:18">
      <c r="A9" s="32" t="s">
        <v>51</v>
      </c>
      <c r="B9" s="37">
        <f t="shared" si="0"/>
        <v>799.95192587928909</v>
      </c>
      <c r="C9" s="33"/>
      <c r="D9" s="37">
        <f>IF(ISERROR(TER_gezond_gas_kWh/1000),0,TER_gezond_gas_kWh/1000)*0.902</f>
        <v>991.72724198490926</v>
      </c>
      <c r="E9" s="33">
        <f>$C$29*'E Balans VL '!I10/100/3.6*1000000</f>
        <v>0.85455599676395122</v>
      </c>
      <c r="F9" s="33">
        <f>$C$29*('E Balans VL '!L10+'E Balans VL '!N10)/100/3.6*1000000</f>
        <v>130.49647056223256</v>
      </c>
      <c r="G9" s="34"/>
      <c r="H9" s="33"/>
      <c r="I9" s="33"/>
      <c r="J9" s="33">
        <f>$C$29*('E Balans VL '!D10+'E Balans VL '!E10)/100/3.6*1000000</f>
        <v>0</v>
      </c>
      <c r="K9" s="33"/>
      <c r="L9" s="33"/>
      <c r="M9" s="33"/>
      <c r="N9" s="33">
        <f>$C$29*'E Balans VL '!Y10/100/3.6*1000000</f>
        <v>8.2350486334645598</v>
      </c>
      <c r="O9" s="33"/>
      <c r="P9" s="33"/>
      <c r="R9" s="32"/>
    </row>
    <row r="10" spans="1:18">
      <c r="A10" s="32" t="s">
        <v>50</v>
      </c>
      <c r="B10" s="37">
        <f t="shared" si="0"/>
        <v>2529.5470753324698</v>
      </c>
      <c r="C10" s="33"/>
      <c r="D10" s="37">
        <f>IF(ISERROR(TER_ander_gas_kWh/1000),0,TER_ander_gas_kWh/1000)*0.902</f>
        <v>320.29407428665775</v>
      </c>
      <c r="E10" s="33">
        <f>$C$30*'E Balans VL '!I14/100/3.6*1000000</f>
        <v>11.633002226780798</v>
      </c>
      <c r="F10" s="33">
        <f>$C$30*('E Balans VL '!L14+'E Balans VL '!N14)/100/3.6*1000000</f>
        <v>758.18504756320442</v>
      </c>
      <c r="G10" s="34"/>
      <c r="H10" s="33"/>
      <c r="I10" s="33"/>
      <c r="J10" s="33">
        <f>$C$30*('E Balans VL '!D14+'E Balans VL '!E14)/100/3.6*1000000</f>
        <v>0</v>
      </c>
      <c r="K10" s="33"/>
      <c r="L10" s="33"/>
      <c r="M10" s="33"/>
      <c r="N10" s="33">
        <f>$C$30*'E Balans VL '!Y14/100/3.6*1000000</f>
        <v>1760.7317417782681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2243.1176613304801</v>
      </c>
      <c r="C12" s="33"/>
      <c r="D12" s="37">
        <f>IF(ISERROR(TER_rest_gas_kWh/1000),0,TER_rest_gas_kWh/1000)*0.902</f>
        <v>2841.9618184940637</v>
      </c>
      <c r="E12" s="33">
        <f>$C$32*'E Balans VL '!I8/100/3.6*1000000</f>
        <v>27.207902076783007</v>
      </c>
      <c r="F12" s="33">
        <f>$C$32*('E Balans VL '!L8+'E Balans VL '!N8)/100/3.6*1000000</f>
        <v>443.87115848032681</v>
      </c>
      <c r="G12" s="34"/>
      <c r="H12" s="33"/>
      <c r="I12" s="33"/>
      <c r="J12" s="33">
        <f>$C$32*('E Balans VL '!D8+'E Balans VL '!E8)/100/3.6*1000000</f>
        <v>0</v>
      </c>
      <c r="K12" s="33"/>
      <c r="L12" s="33"/>
      <c r="M12" s="33"/>
      <c r="N12" s="33">
        <f>$C$32*'E Balans VL '!Y8/100/3.6*1000000</f>
        <v>178.05921741853817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9076.0497057991834</v>
      </c>
      <c r="C16" s="21">
        <f t="shared" ca="1" si="1"/>
        <v>0</v>
      </c>
      <c r="D16" s="21">
        <f t="shared" ca="1" si="1"/>
        <v>7629.2444507839136</v>
      </c>
      <c r="E16" s="21">
        <f t="shared" si="1"/>
        <v>84.085322001636456</v>
      </c>
      <c r="F16" s="21">
        <f t="shared" ca="1" si="1"/>
        <v>1939.6690915720346</v>
      </c>
      <c r="G16" s="21">
        <f t="shared" si="1"/>
        <v>0</v>
      </c>
      <c r="H16" s="21">
        <f t="shared" si="1"/>
        <v>0</v>
      </c>
      <c r="I16" s="21">
        <f t="shared" si="1"/>
        <v>0</v>
      </c>
      <c r="J16" s="21">
        <f t="shared" si="1"/>
        <v>0</v>
      </c>
      <c r="K16" s="21">
        <f t="shared" si="1"/>
        <v>0</v>
      </c>
      <c r="L16" s="21">
        <f t="shared" ca="1" si="1"/>
        <v>0</v>
      </c>
      <c r="M16" s="21">
        <f t="shared" si="1"/>
        <v>0</v>
      </c>
      <c r="N16" s="21">
        <f t="shared" ca="1" si="1"/>
        <v>1951.2802546100634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0.20621227653022281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1871.5928717343086</v>
      </c>
      <c r="C20" s="23">
        <f t="shared" ref="C20:P20" ca="1" si="2">C16*C18</f>
        <v>0</v>
      </c>
      <c r="D20" s="23">
        <f t="shared" ca="1" si="2"/>
        <v>1541.1073790583507</v>
      </c>
      <c r="E20" s="23">
        <f t="shared" si="2"/>
        <v>19.087368094371477</v>
      </c>
      <c r="F20" s="23">
        <f t="shared" ca="1" si="2"/>
        <v>517.89164744973323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2122.22399767971</v>
      </c>
      <c r="C26" s="39">
        <f>IF(ISERROR(B26*3.6/1000000/'E Balans VL '!Z12*100),0,B26*3.6/1000000/'E Balans VL '!Z12*100)</f>
        <v>4.507708892382966E-2</v>
      </c>
      <c r="D26" s="239" t="s">
        <v>692</v>
      </c>
      <c r="F26" s="6"/>
    </row>
    <row r="27" spans="1:18">
      <c r="A27" s="233" t="s">
        <v>53</v>
      </c>
      <c r="B27" s="33">
        <f>IF(ISERROR(TER_horeca_ele_kWh/1000),0,TER_horeca_ele_kWh/1000)</f>
        <v>387.35387514572301</v>
      </c>
      <c r="C27" s="39">
        <f>IF(ISERROR(B27*3.6/1000000/'E Balans VL '!Z9*100),0,B27*3.6/1000000/'E Balans VL '!Z9*100)</f>
        <v>3.011912280800778E-2</v>
      </c>
      <c r="D27" s="239" t="s">
        <v>692</v>
      </c>
      <c r="F27" s="6"/>
    </row>
    <row r="28" spans="1:18">
      <c r="A28" s="173" t="s">
        <v>52</v>
      </c>
      <c r="B28" s="33">
        <f>IF(ISERROR(TER_handel_ele_kWh/1000),0,TER_handel_ele_kWh/1000)</f>
        <v>993.85517043151197</v>
      </c>
      <c r="C28" s="39">
        <f>IF(ISERROR(B28*3.6/1000000/'E Balans VL '!Z13*100),0,B28*3.6/1000000/'E Balans VL '!Z13*100)</f>
        <v>2.8435366076575069E-2</v>
      </c>
      <c r="D28" s="239" t="s">
        <v>692</v>
      </c>
      <c r="F28" s="6"/>
    </row>
    <row r="29" spans="1:18">
      <c r="A29" s="233" t="s">
        <v>51</v>
      </c>
      <c r="B29" s="33">
        <f>IF(ISERROR(TER_gezond_ele_kWh/1000),0,TER_gezond_ele_kWh/1000)</f>
        <v>799.95192587928909</v>
      </c>
      <c r="C29" s="39">
        <f>IF(ISERROR(B29*3.6/1000000/'E Balans VL '!Z10*100),0,B29*3.6/1000000/'E Balans VL '!Z10*100)</f>
        <v>8.7213348574228799E-2</v>
      </c>
      <c r="D29" s="239" t="s">
        <v>692</v>
      </c>
      <c r="F29" s="6"/>
    </row>
    <row r="30" spans="1:18">
      <c r="A30" s="233" t="s">
        <v>50</v>
      </c>
      <c r="B30" s="33">
        <f>IF(ISERROR(TER_ander_ele_kWh/1000),0,TER_ander_ele_kWh/1000)</f>
        <v>2529.5470753324698</v>
      </c>
      <c r="C30" s="39">
        <f>IF(ISERROR(B30*3.6/1000000/'E Balans VL '!Z14*100),0,B30*3.6/1000000/'E Balans VL '!Z14*100)</f>
        <v>0.18510651683131496</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2243.1176613304801</v>
      </c>
      <c r="C32" s="39">
        <f>IF(ISERROR(B32*3.6/1000000/'E Balans VL '!Z8*100),0,B32*3.6/1000000/'E Balans VL '!Z8*100)</f>
        <v>1.8280047660900235E-2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636.36166194878035</v>
      </c>
      <c r="C5" s="17">
        <f>IF(ISERROR('Eigen informatie GS &amp; warmtenet'!B59),0,'Eigen informatie GS &amp; warmtenet'!B59)</f>
        <v>0</v>
      </c>
      <c r="D5" s="30">
        <f>SUM(D6:D15)</f>
        <v>601.88742430321383</v>
      </c>
      <c r="E5" s="17">
        <f>SUM(E6:E15)</f>
        <v>86.606212390437989</v>
      </c>
      <c r="F5" s="17">
        <f>SUM(F6:F15)</f>
        <v>288.13164172473518</v>
      </c>
      <c r="G5" s="18"/>
      <c r="H5" s="17"/>
      <c r="I5" s="17"/>
      <c r="J5" s="17">
        <f>SUM(J6:J15)</f>
        <v>0.76713980646661484</v>
      </c>
      <c r="K5" s="17"/>
      <c r="L5" s="17"/>
      <c r="M5" s="17"/>
      <c r="N5" s="17">
        <f>SUM(N6:N15)</f>
        <v>147.54122231788276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68.2196642166152</v>
      </c>
      <c r="C8" s="33"/>
      <c r="D8" s="37">
        <f>IF( ISERROR(IND_metaal_Gas_kWH/1000),0,IND_metaal_Gas_kWH/1000)*0.902</f>
        <v>0</v>
      </c>
      <c r="E8" s="33">
        <f>C30*'E Balans VL '!I18/100/3.6*1000000</f>
        <v>1.9595248215069476</v>
      </c>
      <c r="F8" s="33">
        <f>C30*'E Balans VL '!L18/100/3.6*1000000+C30*'E Balans VL '!N18/100/3.6*1000000</f>
        <v>17.497031818862137</v>
      </c>
      <c r="G8" s="34"/>
      <c r="H8" s="33"/>
      <c r="I8" s="33"/>
      <c r="J8" s="40">
        <f>C30*'E Balans VL '!D18/100/3.6*1000000+C30*'E Balans VL '!E18/100/3.6*1000000</f>
        <v>0</v>
      </c>
      <c r="K8" s="33"/>
      <c r="L8" s="33"/>
      <c r="M8" s="33"/>
      <c r="N8" s="33">
        <f>C30*'E Balans VL '!Y18/100/3.6*1000000</f>
        <v>1.8523031395452503</v>
      </c>
      <c r="O8" s="33"/>
      <c r="P8" s="33"/>
      <c r="R8" s="32"/>
    </row>
    <row r="9" spans="1:18">
      <c r="A9" s="6" t="s">
        <v>33</v>
      </c>
      <c r="B9" s="37">
        <f t="shared" si="0"/>
        <v>243.33934186582999</v>
      </c>
      <c r="C9" s="33"/>
      <c r="D9" s="37">
        <f>IF( ISERROR(IND_andere_gas_kWh/1000),0,IND_andere_gas_kWh/1000)*0.902</f>
        <v>41.413826859142432</v>
      </c>
      <c r="E9" s="33">
        <f>C31*'E Balans VL '!I19/100/3.6*1000000</f>
        <v>65.865976848839665</v>
      </c>
      <c r="F9" s="33">
        <f>C31*'E Balans VL '!L19/100/3.6*1000000+C31*'E Balans VL '!N19/100/3.6*1000000</f>
        <v>162.08975236407844</v>
      </c>
      <c r="G9" s="34"/>
      <c r="H9" s="33"/>
      <c r="I9" s="33"/>
      <c r="J9" s="40">
        <f>C31*'E Balans VL '!D19/100/3.6*1000000+C31*'E Balans VL '!E19/100/3.6*1000000</f>
        <v>0</v>
      </c>
      <c r="K9" s="33"/>
      <c r="L9" s="33"/>
      <c r="M9" s="33"/>
      <c r="N9" s="33">
        <f>C31*'E Balans VL '!Y19/100/3.6*1000000</f>
        <v>79.446252906667212</v>
      </c>
      <c r="O9" s="33"/>
      <c r="P9" s="33"/>
      <c r="R9" s="32"/>
    </row>
    <row r="10" spans="1:18">
      <c r="A10" s="6" t="s">
        <v>41</v>
      </c>
      <c r="B10" s="37">
        <f t="shared" si="0"/>
        <v>25.6290501923771</v>
      </c>
      <c r="C10" s="33"/>
      <c r="D10" s="37">
        <f>IF( ISERROR(IND_voed_gas_kWh/1000),0,IND_voed_gas_kWh/1000)*0.902</f>
        <v>0</v>
      </c>
      <c r="E10" s="33">
        <f>C32*'E Balans VL '!I20/100/3.6*1000000</f>
        <v>2.0903642149009243</v>
      </c>
      <c r="F10" s="33">
        <f>C32*'E Balans VL '!L20/100/3.6*1000000+C32*'E Balans VL '!N20/100/3.6*1000000</f>
        <v>38.215239108010962</v>
      </c>
      <c r="G10" s="34"/>
      <c r="H10" s="33"/>
      <c r="I10" s="33"/>
      <c r="J10" s="40">
        <f>C32*'E Balans VL '!D20/100/3.6*1000000+C32*'E Balans VL '!E20/100/3.6*1000000</f>
        <v>3.3904122455157308E-4</v>
      </c>
      <c r="K10" s="33"/>
      <c r="L10" s="33"/>
      <c r="M10" s="33"/>
      <c r="N10" s="33">
        <f>C32*'E Balans VL '!Y20/100/3.6*1000000</f>
        <v>7.5289105948534063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299.17360567395804</v>
      </c>
      <c r="C15" s="33"/>
      <c r="D15" s="37">
        <f>IF( ISERROR(IND_rest_gas_kWh/1000),0,IND_rest_gas_kWh/1000)*0.902</f>
        <v>560.4735974440714</v>
      </c>
      <c r="E15" s="33">
        <f>C37*'E Balans VL '!I15/100/3.6*1000000</f>
        <v>16.690346505190451</v>
      </c>
      <c r="F15" s="33">
        <f>C37*'E Balans VL '!L15/100/3.6*1000000+C37*'E Balans VL '!N15/100/3.6*1000000</f>
        <v>70.329618433783651</v>
      </c>
      <c r="G15" s="34"/>
      <c r="H15" s="33"/>
      <c r="I15" s="33"/>
      <c r="J15" s="40">
        <f>C37*'E Balans VL '!D15/100/3.6*1000000+C37*'E Balans VL '!E15/100/3.6*1000000</f>
        <v>0.76680076524206331</v>
      </c>
      <c r="K15" s="33"/>
      <c r="L15" s="33"/>
      <c r="M15" s="33"/>
      <c r="N15" s="33">
        <f>C37*'E Balans VL '!Y15/100/3.6*1000000</f>
        <v>58.713755676816881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636.36166194878035</v>
      </c>
      <c r="C18" s="21">
        <f>C5+C16</f>
        <v>0</v>
      </c>
      <c r="D18" s="21">
        <f>MAX((D5+D16),0)</f>
        <v>601.88742430321383</v>
      </c>
      <c r="E18" s="21">
        <f>MAX((E5+E16),0)</f>
        <v>86.606212390437989</v>
      </c>
      <c r="F18" s="21">
        <f>MAX((F5+F16),0)</f>
        <v>288.13164172473518</v>
      </c>
      <c r="G18" s="21"/>
      <c r="H18" s="21"/>
      <c r="I18" s="21"/>
      <c r="J18" s="21">
        <f>MAX((J5+J16),0)</f>
        <v>0.76713980646661484</v>
      </c>
      <c r="K18" s="21"/>
      <c r="L18" s="21">
        <f>MAX((L5+L16),0)</f>
        <v>0</v>
      </c>
      <c r="M18" s="21"/>
      <c r="N18" s="21">
        <f>MAX((N5+N16),0)</f>
        <v>147.54122231788276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0.20621227653022281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131.22558700701407</v>
      </c>
      <c r="C22" s="23">
        <f ca="1">C18*C20</f>
        <v>0</v>
      </c>
      <c r="D22" s="23">
        <f>D18*D20</f>
        <v>121.5812597092492</v>
      </c>
      <c r="E22" s="23">
        <f>E18*E20</f>
        <v>19.659610212629424</v>
      </c>
      <c r="F22" s="23">
        <f>F18*F20</f>
        <v>76.931148340504294</v>
      </c>
      <c r="G22" s="23"/>
      <c r="H22" s="23"/>
      <c r="I22" s="23"/>
      <c r="J22" s="23">
        <f>J18*J20</f>
        <v>0.27156749148918163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68.2196642166152</v>
      </c>
      <c r="C30" s="39">
        <f>IF(ISERROR(B30*3.6/1000000/'E Balans VL '!Z18*100),0,B30*3.6/1000000/'E Balans VL '!Z18*100)</f>
        <v>6.7126408126631293E-3</v>
      </c>
      <c r="D30" s="239" t="s">
        <v>692</v>
      </c>
    </row>
    <row r="31" spans="1:18">
      <c r="A31" s="6" t="s">
        <v>33</v>
      </c>
      <c r="B31" s="37">
        <f>IF( ISERROR(IND_ander_ele_kWh/1000),0,IND_ander_ele_kWh/1000)</f>
        <v>243.33934186582999</v>
      </c>
      <c r="C31" s="39">
        <f>IF(ISERROR(B31*3.6/1000000/'E Balans VL '!Z19*100),0,B31*3.6/1000000/'E Balans VL '!Z19*100)</f>
        <v>1.0597234228375997E-2</v>
      </c>
      <c r="D31" s="239" t="s">
        <v>692</v>
      </c>
    </row>
    <row r="32" spans="1:18">
      <c r="A32" s="173" t="s">
        <v>41</v>
      </c>
      <c r="B32" s="37">
        <f>IF( ISERROR(IND_voed_ele_kWh/1000),0,IND_voed_ele_kWh/1000)</f>
        <v>25.6290501923771</v>
      </c>
      <c r="C32" s="39">
        <f>IF(ISERROR(B32*3.6/1000000/'E Balans VL '!Z20*100),0,B32*3.6/1000000/'E Balans VL '!Z20*100)</f>
        <v>4.8627426628908956E-3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299.17360567395804</v>
      </c>
      <c r="C37" s="39">
        <f>IF(ISERROR(B37*3.6/1000000/'E Balans VL '!Z15*100),0,B37*3.6/1000000/'E Balans VL '!Z15*100)</f>
        <v>2.3055000926498022E-3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189.89335753251029</v>
      </c>
      <c r="C5" s="17">
        <f>'Eigen informatie GS &amp; warmtenet'!B60</f>
        <v>0</v>
      </c>
      <c r="D5" s="30">
        <f>IF(ISERROR(SUM(LB_lb_gas_kWh,LB_rest_gas_kWh)/1000),0,SUM(LB_lb_gas_kWh,LB_rest_gas_kWh)/1000)*0.902</f>
        <v>171.88386552991139</v>
      </c>
      <c r="E5" s="17">
        <f>B17*'E Balans VL '!I25/3.6*1000000/100</f>
        <v>2.3929009372929291</v>
      </c>
      <c r="F5" s="17">
        <f>B17*('E Balans VL '!L25/3.6*1000000+'E Balans VL '!N25/3.6*1000000)/100</f>
        <v>655.17965461571407</v>
      </c>
      <c r="G5" s="18"/>
      <c r="H5" s="17"/>
      <c r="I5" s="17"/>
      <c r="J5" s="17">
        <f>('E Balans VL '!D25+'E Balans VL '!E25)/3.6*1000000*landbouw!B17/100</f>
        <v>28.557802341386324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189.89335753251029</v>
      </c>
      <c r="C8" s="21">
        <f>C5+C6</f>
        <v>0</v>
      </c>
      <c r="D8" s="21">
        <f>MAX((D5+D6),0)</f>
        <v>171.88386552991139</v>
      </c>
      <c r="E8" s="21">
        <f>MAX((E5+E6),0)</f>
        <v>2.3929009372929291</v>
      </c>
      <c r="F8" s="21">
        <f>MAX((F5+F6),0)</f>
        <v>655.17965461571407</v>
      </c>
      <c r="G8" s="21"/>
      <c r="H8" s="21"/>
      <c r="I8" s="21"/>
      <c r="J8" s="21">
        <f>MAX((J5+J6),0)</f>
        <v>28.557802341386324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0.20621227653022281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39.158341554746478</v>
      </c>
      <c r="C12" s="23">
        <f ca="1">C8*C10</f>
        <v>0</v>
      </c>
      <c r="D12" s="23">
        <f>D8*D10</f>
        <v>34.720540837042101</v>
      </c>
      <c r="E12" s="23">
        <f>E8*E10</f>
        <v>0.54318851276549496</v>
      </c>
      <c r="F12" s="23">
        <f>F8*F10</f>
        <v>174.93296778239568</v>
      </c>
      <c r="G12" s="23"/>
      <c r="H12" s="23"/>
      <c r="I12" s="23"/>
      <c r="J12" s="23">
        <f>J8*J10</f>
        <v>10.109462028850759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2.6484138284568168E-2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95.214779356057107</v>
      </c>
      <c r="C26" s="249">
        <f>B26*'GWP N2O_CH4'!B5</f>
        <v>1999.5103664771993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9.7959228525943072</v>
      </c>
      <c r="C27" s="249">
        <f>B27*'GWP N2O_CH4'!B5</f>
        <v>205.71437990448044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1.4182623297008148</v>
      </c>
      <c r="C28" s="249">
        <f>B28*'GWP N2O_CH4'!B4</f>
        <v>439.66132220725257</v>
      </c>
      <c r="D28" s="50"/>
    </row>
    <row r="29" spans="1:4">
      <c r="A29" s="41" t="s">
        <v>277</v>
      </c>
      <c r="B29" s="249">
        <f>B34*'ha_N2O bodem landbouw'!B4</f>
        <v>10.781489721778064</v>
      </c>
      <c r="C29" s="249">
        <f>B29*'GWP N2O_CH4'!B4</f>
        <v>3342.2618137512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2.6920302518758693E-3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4.6768817636043544E-5</v>
      </c>
      <c r="C5" s="448" t="s">
        <v>211</v>
      </c>
      <c r="D5" s="433">
        <f>SUM(D6:D11)</f>
        <v>7.5026191335134866E-5</v>
      </c>
      <c r="E5" s="433">
        <f>SUM(E6:E11)</f>
        <v>2.6962577332680805E-3</v>
      </c>
      <c r="F5" s="446" t="s">
        <v>211</v>
      </c>
      <c r="G5" s="433">
        <f>SUM(G6:G11)</f>
        <v>0.58865131519926472</v>
      </c>
      <c r="H5" s="433">
        <f>SUM(H6:H11)</f>
        <v>0.11581250783995793</v>
      </c>
      <c r="I5" s="448" t="s">
        <v>211</v>
      </c>
      <c r="J5" s="448" t="s">
        <v>211</v>
      </c>
      <c r="K5" s="448" t="s">
        <v>211</v>
      </c>
      <c r="L5" s="448" t="s">
        <v>211</v>
      </c>
      <c r="M5" s="433">
        <f>SUM(M6:M11)</f>
        <v>3.1851447764722957E-2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7.9724405947339733E-6</v>
      </c>
      <c r="C6" s="887"/>
      <c r="D6" s="887">
        <f>vkm_2011_GW_PW*SUMIFS(TableVerdeelsleutelVkm[CNG],TableVerdeelsleutelVkm[Voertuigtype],"Lichte voertuigen")*SUMIFS(TableECFTransport[EnergieConsumptieFactor (PJ per km)],TableECFTransport[Index],CONCATENATE($A6,"_CNG_CNG"))</f>
        <v>1.129053513697346E-5</v>
      </c>
      <c r="E6" s="887">
        <f>vkm_2011_GW_PW*SUMIFS(TableVerdeelsleutelVkm[LPG],TableVerdeelsleutelVkm[Voertuigtype],"Lichte voertuigen")*SUMIFS(TableECFTransport[EnergieConsumptieFactor (PJ per km)],TableECFTransport[Index],CONCATENATE($A6,"_LPG_LPG"))</f>
        <v>3.5459853922938502E-4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6.3731067130634783E-2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1.7077252256218717E-2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3.65602657383538E-3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4.2785801067820213E-3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1.5201351569158731E-6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1.9307877944699825E-4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6.0972663692750963E-6</v>
      </c>
      <c r="C8" s="887"/>
      <c r="D8" s="436">
        <f>vkm_2011_NGW_PW*SUMIFS(TableVerdeelsleutelVkm[CNG],TableVerdeelsleutelVkm[Voertuigtype],"Lichte voertuigen")*SUMIFS(TableECFTransport[EnergieConsumptieFactor (PJ per km)],TableECFTransport[Index],CONCATENATE($A8,"_CNG_CNG"))</f>
        <v>1.5383260218678458E-5</v>
      </c>
      <c r="E8" s="436">
        <f>vkm_2011_NGW_PW*SUMIFS(TableVerdeelsleutelVkm[LPG],TableVerdeelsleutelVkm[Voertuigtype],"Lichte voertuigen")*SUMIFS(TableECFTransport[EnergieConsumptieFactor (PJ per km)],TableECFTransport[Index],CONCATENATE($A8,"_LPG_LPG"))</f>
        <v>4.4500312902766471E-4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7.5432345564016956E-2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2.2450958926573231E-2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4.4296611539277626E-3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3.2870113352100622E-3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1.1051174565835299E-6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1.4832955002739353E-4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3.2699110672034471E-5</v>
      </c>
      <c r="C10" s="887"/>
      <c r="D10" s="436">
        <f>vkm_2011_SW_PW*SUMIFS(TableVerdeelsleutelVkm[CNG],TableVerdeelsleutelVkm[Voertuigtype],"Lichte voertuigen")*SUMIFS(TableECFTransport[EnergieConsumptieFactor (PJ per km)],TableECFTransport[Index],CONCATENATE($A10,"_CNG_CNG"))</f>
        <v>4.8352395979482941E-5</v>
      </c>
      <c r="E10" s="436">
        <f>vkm_2011_SW_PW*SUMIFS(TableVerdeelsleutelVkm[LPG],TableVerdeelsleutelVkm[Voertuigtype],"Lichte voertuigen")*SUMIFS(TableECFTransport[EnergieConsumptieFactor (PJ per km)],TableECFTransport[Index],CONCATENATE($A10,"_LPG_LPG"))</f>
        <v>1.8966560650110307E-3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0.30871984911270972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7.6230635688337101E-2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1.7413176456097277E-2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0.1332024619499112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5.1035716215388166E-5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6.0111752513881426E-3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12.991338232234318</v>
      </c>
      <c r="C14" s="21"/>
      <c r="D14" s="21">
        <f t="shared" ref="D14:M14" si="0">((D5)*10^9/3600)+D12</f>
        <v>20.840608704204129</v>
      </c>
      <c r="E14" s="21">
        <f t="shared" si="0"/>
        <v>748.96048146335568</v>
      </c>
      <c r="F14" s="21"/>
      <c r="G14" s="21">
        <f t="shared" si="0"/>
        <v>163514.254222018</v>
      </c>
      <c r="H14" s="21">
        <f t="shared" si="0"/>
        <v>32170.141066654982</v>
      </c>
      <c r="I14" s="21"/>
      <c r="J14" s="21"/>
      <c r="K14" s="21"/>
      <c r="L14" s="21"/>
      <c r="M14" s="21">
        <f t="shared" si="0"/>
        <v>8847.6243790897115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0.20621227653022281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2.6789734320431591</v>
      </c>
      <c r="C18" s="23"/>
      <c r="D18" s="23">
        <f t="shared" ref="D18:M18" si="1">D14*D16</f>
        <v>4.2098029582492345</v>
      </c>
      <c r="E18" s="23">
        <f t="shared" si="1"/>
        <v>170.01402929218173</v>
      </c>
      <c r="F18" s="23"/>
      <c r="G18" s="23">
        <f t="shared" si="1"/>
        <v>43658.305877278806</v>
      </c>
      <c r="H18" s="23">
        <f t="shared" si="1"/>
        <v>8010.3651255970908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1.1986614698592316E-2</v>
      </c>
      <c r="H50" s="323">
        <f t="shared" si="2"/>
        <v>0</v>
      </c>
      <c r="I50" s="323">
        <f t="shared" si="2"/>
        <v>0</v>
      </c>
      <c r="J50" s="323">
        <f t="shared" si="2"/>
        <v>0</v>
      </c>
      <c r="K50" s="323">
        <f t="shared" si="2"/>
        <v>0</v>
      </c>
      <c r="L50" s="323">
        <f t="shared" si="2"/>
        <v>0</v>
      </c>
      <c r="M50" s="323">
        <f t="shared" si="2"/>
        <v>5.3307407390361296E-4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1.1986614698592316E-2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5.3307407390361296E-4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3329.6151940534214</v>
      </c>
      <c r="H54" s="21">
        <f t="shared" si="3"/>
        <v>0</v>
      </c>
      <c r="I54" s="21">
        <f t="shared" si="3"/>
        <v>0</v>
      </c>
      <c r="J54" s="21">
        <f t="shared" si="3"/>
        <v>0</v>
      </c>
      <c r="K54" s="21">
        <f t="shared" si="3"/>
        <v>0</v>
      </c>
      <c r="L54" s="21">
        <f t="shared" si="3"/>
        <v>0</v>
      </c>
      <c r="M54" s="21">
        <f t="shared" si="3"/>
        <v>148.07613163989248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0.20621227653022281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889.00725681226356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9579.4287057991842</v>
      </c>
      <c r="D10" s="690">
        <f ca="1">tertiair!C16</f>
        <v>0</v>
      </c>
      <c r="E10" s="690">
        <f ca="1">tertiair!D16</f>
        <v>7629.2444507839136</v>
      </c>
      <c r="F10" s="690">
        <f>tertiair!E16</f>
        <v>84.085322001636456</v>
      </c>
      <c r="G10" s="690">
        <f ca="1">tertiair!F16</f>
        <v>1939.6690915720346</v>
      </c>
      <c r="H10" s="690">
        <f>tertiair!G16</f>
        <v>0</v>
      </c>
      <c r="I10" s="690">
        <f>tertiair!H16</f>
        <v>0</v>
      </c>
      <c r="J10" s="690">
        <f>tertiair!I16</f>
        <v>0</v>
      </c>
      <c r="K10" s="690">
        <f>tertiair!J16</f>
        <v>0</v>
      </c>
      <c r="L10" s="690">
        <f>tertiair!K16</f>
        <v>0</v>
      </c>
      <c r="M10" s="690">
        <f ca="1">tertiair!L16</f>
        <v>0</v>
      </c>
      <c r="N10" s="690">
        <f>tertiair!M16</f>
        <v>0</v>
      </c>
      <c r="O10" s="690">
        <f ca="1">tertiair!N16</f>
        <v>1951.2802546100634</v>
      </c>
      <c r="P10" s="690">
        <f>tertiair!O16</f>
        <v>1.5633333333333335</v>
      </c>
      <c r="Q10" s="691">
        <f>tertiair!P16</f>
        <v>19.066666666666666</v>
      </c>
      <c r="R10" s="693">
        <f ca="1">SUM(C10:Q10)</f>
        <v>21204.337824766833</v>
      </c>
      <c r="S10" s="67"/>
    </row>
    <row r="11" spans="1:19" s="458" customFormat="1">
      <c r="A11" s="805" t="s">
        <v>225</v>
      </c>
      <c r="B11" s="810"/>
      <c r="C11" s="690">
        <f>huishoudens!B8</f>
        <v>17298.843469905401</v>
      </c>
      <c r="D11" s="690">
        <f>huishoudens!C8</f>
        <v>0</v>
      </c>
      <c r="E11" s="690">
        <f>huishoudens!D8</f>
        <v>39406.443852604105</v>
      </c>
      <c r="F11" s="690">
        <f>huishoudens!E8</f>
        <v>1741.135384231314</v>
      </c>
      <c r="G11" s="690">
        <f>huishoudens!F8</f>
        <v>25079.526901878071</v>
      </c>
      <c r="H11" s="690">
        <f>huishoudens!G8</f>
        <v>0</v>
      </c>
      <c r="I11" s="690">
        <f>huishoudens!H8</f>
        <v>0</v>
      </c>
      <c r="J11" s="690">
        <f>huishoudens!I8</f>
        <v>0</v>
      </c>
      <c r="K11" s="690">
        <f>huishoudens!J8</f>
        <v>0</v>
      </c>
      <c r="L11" s="690">
        <f>huishoudens!K8</f>
        <v>0</v>
      </c>
      <c r="M11" s="690">
        <f>huishoudens!L8</f>
        <v>0</v>
      </c>
      <c r="N11" s="690">
        <f>huishoudens!M8</f>
        <v>0</v>
      </c>
      <c r="O11" s="690">
        <f>huishoudens!N8</f>
        <v>5176.8955982705465</v>
      </c>
      <c r="P11" s="690">
        <f>huishoudens!O8</f>
        <v>118.81333333333333</v>
      </c>
      <c r="Q11" s="691">
        <f>huishoudens!P8</f>
        <v>171.6</v>
      </c>
      <c r="R11" s="693">
        <f>SUM(C11:Q11)</f>
        <v>88993.258540222785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636.36166194878035</v>
      </c>
      <c r="D13" s="690">
        <f>industrie!C18</f>
        <v>0</v>
      </c>
      <c r="E13" s="690">
        <f>industrie!D18</f>
        <v>601.88742430321383</v>
      </c>
      <c r="F13" s="690">
        <f>industrie!E18</f>
        <v>86.606212390437989</v>
      </c>
      <c r="G13" s="690">
        <f>industrie!F18</f>
        <v>288.13164172473518</v>
      </c>
      <c r="H13" s="690">
        <f>industrie!G18</f>
        <v>0</v>
      </c>
      <c r="I13" s="690">
        <f>industrie!H18</f>
        <v>0</v>
      </c>
      <c r="J13" s="690">
        <f>industrie!I18</f>
        <v>0</v>
      </c>
      <c r="K13" s="690">
        <f>industrie!J18</f>
        <v>0.76713980646661484</v>
      </c>
      <c r="L13" s="690">
        <f>industrie!K18</f>
        <v>0</v>
      </c>
      <c r="M13" s="690">
        <f>industrie!L18</f>
        <v>0</v>
      </c>
      <c r="N13" s="690">
        <f>industrie!M18</f>
        <v>0</v>
      </c>
      <c r="O13" s="690">
        <f>industrie!N18</f>
        <v>147.54122231788276</v>
      </c>
      <c r="P13" s="690">
        <f>industrie!O18</f>
        <v>0</v>
      </c>
      <c r="Q13" s="691">
        <f>industrie!P18</f>
        <v>0</v>
      </c>
      <c r="R13" s="693">
        <f>SUM(C13:Q13)</f>
        <v>1761.2953024915166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27514.633837653368</v>
      </c>
      <c r="D16" s="725">
        <f t="shared" ref="D16:R16" ca="1" si="0">SUM(D9:D15)</f>
        <v>0</v>
      </c>
      <c r="E16" s="725">
        <f t="shared" ca="1" si="0"/>
        <v>47637.575727691226</v>
      </c>
      <c r="F16" s="725">
        <f t="shared" si="0"/>
        <v>1911.8269186233886</v>
      </c>
      <c r="G16" s="725">
        <f t="shared" ca="1" si="0"/>
        <v>27307.327635174843</v>
      </c>
      <c r="H16" s="725">
        <f t="shared" si="0"/>
        <v>0</v>
      </c>
      <c r="I16" s="725">
        <f t="shared" si="0"/>
        <v>0</v>
      </c>
      <c r="J16" s="725">
        <f t="shared" si="0"/>
        <v>0</v>
      </c>
      <c r="K16" s="725">
        <f t="shared" si="0"/>
        <v>0.76713980646661484</v>
      </c>
      <c r="L16" s="725">
        <f t="shared" si="0"/>
        <v>0</v>
      </c>
      <c r="M16" s="725">
        <f t="shared" ca="1" si="0"/>
        <v>0</v>
      </c>
      <c r="N16" s="725">
        <f t="shared" si="0"/>
        <v>0</v>
      </c>
      <c r="O16" s="725">
        <f t="shared" ca="1" si="0"/>
        <v>7275.7170751984922</v>
      </c>
      <c r="P16" s="725">
        <f t="shared" si="0"/>
        <v>120.37666666666667</v>
      </c>
      <c r="Q16" s="725">
        <f t="shared" si="0"/>
        <v>190.66666666666666</v>
      </c>
      <c r="R16" s="725">
        <f t="shared" ca="1" si="0"/>
        <v>111958.89166748113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3329.6151940534214</v>
      </c>
      <c r="I19" s="690">
        <f>transport!H54</f>
        <v>0</v>
      </c>
      <c r="J19" s="690">
        <f>transport!I54</f>
        <v>0</v>
      </c>
      <c r="K19" s="690">
        <f>transport!J54</f>
        <v>0</v>
      </c>
      <c r="L19" s="690">
        <f>transport!K54</f>
        <v>0</v>
      </c>
      <c r="M19" s="690">
        <f>transport!L54</f>
        <v>0</v>
      </c>
      <c r="N19" s="690">
        <f>transport!M54</f>
        <v>148.07613163989248</v>
      </c>
      <c r="O19" s="690">
        <f>transport!N54</f>
        <v>0</v>
      </c>
      <c r="P19" s="690">
        <f>transport!O54</f>
        <v>0</v>
      </c>
      <c r="Q19" s="691">
        <f>transport!P54</f>
        <v>0</v>
      </c>
      <c r="R19" s="693">
        <f>SUM(C19:Q19)</f>
        <v>3477.691325693314</v>
      </c>
      <c r="S19" s="67"/>
    </row>
    <row r="20" spans="1:19" s="458" customFormat="1">
      <c r="A20" s="805" t="s">
        <v>307</v>
      </c>
      <c r="B20" s="810"/>
      <c r="C20" s="690">
        <f>transport!B14</f>
        <v>12.991338232234318</v>
      </c>
      <c r="D20" s="690">
        <f>transport!C14</f>
        <v>0</v>
      </c>
      <c r="E20" s="690">
        <f>transport!D14</f>
        <v>20.840608704204129</v>
      </c>
      <c r="F20" s="690">
        <f>transport!E14</f>
        <v>748.96048146335568</v>
      </c>
      <c r="G20" s="690">
        <f>transport!F14</f>
        <v>0</v>
      </c>
      <c r="H20" s="690">
        <f>transport!G14</f>
        <v>163514.254222018</v>
      </c>
      <c r="I20" s="690">
        <f>transport!H14</f>
        <v>32170.141066654982</v>
      </c>
      <c r="J20" s="690">
        <f>transport!I14</f>
        <v>0</v>
      </c>
      <c r="K20" s="690">
        <f>transport!J14</f>
        <v>0</v>
      </c>
      <c r="L20" s="690">
        <f>transport!K14</f>
        <v>0</v>
      </c>
      <c r="M20" s="690">
        <f>transport!L14</f>
        <v>0</v>
      </c>
      <c r="N20" s="690">
        <f>transport!M14</f>
        <v>8847.6243790897115</v>
      </c>
      <c r="O20" s="690">
        <f>transport!N14</f>
        <v>0</v>
      </c>
      <c r="P20" s="690">
        <f>transport!O14</f>
        <v>0</v>
      </c>
      <c r="Q20" s="691">
        <f>transport!P14</f>
        <v>0</v>
      </c>
      <c r="R20" s="693">
        <f>SUM(C20:Q20)</f>
        <v>205314.8120961625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12.991338232234318</v>
      </c>
      <c r="D22" s="808">
        <f t="shared" ref="D22:R22" si="1">SUM(D18:D21)</f>
        <v>0</v>
      </c>
      <c r="E22" s="808">
        <f t="shared" si="1"/>
        <v>20.840608704204129</v>
      </c>
      <c r="F22" s="808">
        <f t="shared" si="1"/>
        <v>748.96048146335568</v>
      </c>
      <c r="G22" s="808">
        <f t="shared" si="1"/>
        <v>0</v>
      </c>
      <c r="H22" s="808">
        <f t="shared" si="1"/>
        <v>166843.86941607142</v>
      </c>
      <c r="I22" s="808">
        <f t="shared" si="1"/>
        <v>32170.141066654982</v>
      </c>
      <c r="J22" s="808">
        <f t="shared" si="1"/>
        <v>0</v>
      </c>
      <c r="K22" s="808">
        <f t="shared" si="1"/>
        <v>0</v>
      </c>
      <c r="L22" s="808">
        <f t="shared" si="1"/>
        <v>0</v>
      </c>
      <c r="M22" s="808">
        <f t="shared" si="1"/>
        <v>0</v>
      </c>
      <c r="N22" s="808">
        <f t="shared" si="1"/>
        <v>8995.7005107296045</v>
      </c>
      <c r="O22" s="808">
        <f t="shared" si="1"/>
        <v>0</v>
      </c>
      <c r="P22" s="808">
        <f t="shared" si="1"/>
        <v>0</v>
      </c>
      <c r="Q22" s="808">
        <f t="shared" si="1"/>
        <v>0</v>
      </c>
      <c r="R22" s="808">
        <f t="shared" si="1"/>
        <v>208792.5034218558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189.89335753251029</v>
      </c>
      <c r="D24" s="690">
        <f>+landbouw!C8</f>
        <v>0</v>
      </c>
      <c r="E24" s="690">
        <f>+landbouw!D8</f>
        <v>171.88386552991139</v>
      </c>
      <c r="F24" s="690">
        <f>+landbouw!E8</f>
        <v>2.3929009372929291</v>
      </c>
      <c r="G24" s="690">
        <f>+landbouw!F8</f>
        <v>655.17965461571407</v>
      </c>
      <c r="H24" s="690">
        <f>+landbouw!G8</f>
        <v>0</v>
      </c>
      <c r="I24" s="690">
        <f>+landbouw!H8</f>
        <v>0</v>
      </c>
      <c r="J24" s="690">
        <f>+landbouw!I8</f>
        <v>0</v>
      </c>
      <c r="K24" s="690">
        <f>+landbouw!J8</f>
        <v>28.557802341386324</v>
      </c>
      <c r="L24" s="690">
        <f>+landbouw!K8</f>
        <v>0</v>
      </c>
      <c r="M24" s="690">
        <f>+landbouw!L8</f>
        <v>0</v>
      </c>
      <c r="N24" s="690">
        <f>+landbouw!M8</f>
        <v>0</v>
      </c>
      <c r="O24" s="690">
        <f>+landbouw!N8</f>
        <v>0</v>
      </c>
      <c r="P24" s="690">
        <f>+landbouw!O8</f>
        <v>0</v>
      </c>
      <c r="Q24" s="691">
        <f>+landbouw!P8</f>
        <v>0</v>
      </c>
      <c r="R24" s="693">
        <f>SUM(C24:Q24)</f>
        <v>1047.9075809568151</v>
      </c>
      <c r="S24" s="67"/>
    </row>
    <row r="25" spans="1:19" s="458" customFormat="1" ht="15" thickBot="1">
      <c r="A25" s="827" t="s">
        <v>872</v>
      </c>
      <c r="B25" s="1004"/>
      <c r="C25" s="1005">
        <f>IF(Onbekend_ele_kWh="---",0,Onbekend_ele_kWh)/1000+IF(REST_rest_ele_kWh="---",0,REST_rest_ele_kWh)/1000</f>
        <v>395.27854042811401</v>
      </c>
      <c r="D25" s="1005"/>
      <c r="E25" s="1005">
        <f>IF(onbekend_gas_kWh="---",0,onbekend_gas_kWh)/1000+IF(REST_rest_gas_kWh="---",0,REST_rest_gas_kWh)/1000</f>
        <v>1180.1731898881299</v>
      </c>
      <c r="F25" s="1005"/>
      <c r="G25" s="1005"/>
      <c r="H25" s="1005"/>
      <c r="I25" s="1005"/>
      <c r="J25" s="1005"/>
      <c r="K25" s="1005"/>
      <c r="L25" s="1005"/>
      <c r="M25" s="1005"/>
      <c r="N25" s="1005"/>
      <c r="O25" s="1005"/>
      <c r="P25" s="1005"/>
      <c r="Q25" s="1006"/>
      <c r="R25" s="693">
        <f>SUM(C25:Q25)</f>
        <v>1575.4517303162438</v>
      </c>
      <c r="S25" s="67"/>
    </row>
    <row r="26" spans="1:19" s="458" customFormat="1" ht="15.75" thickBot="1">
      <c r="A26" s="698" t="s">
        <v>873</v>
      </c>
      <c r="B26" s="813"/>
      <c r="C26" s="808">
        <f>SUM(C24:C25)</f>
        <v>585.17189796062428</v>
      </c>
      <c r="D26" s="808">
        <f t="shared" ref="D26:R26" si="2">SUM(D24:D25)</f>
        <v>0</v>
      </c>
      <c r="E26" s="808">
        <f t="shared" si="2"/>
        <v>1352.0570554180413</v>
      </c>
      <c r="F26" s="808">
        <f t="shared" si="2"/>
        <v>2.3929009372929291</v>
      </c>
      <c r="G26" s="808">
        <f t="shared" si="2"/>
        <v>655.17965461571407</v>
      </c>
      <c r="H26" s="808">
        <f t="shared" si="2"/>
        <v>0</v>
      </c>
      <c r="I26" s="808">
        <f t="shared" si="2"/>
        <v>0</v>
      </c>
      <c r="J26" s="808">
        <f t="shared" si="2"/>
        <v>0</v>
      </c>
      <c r="K26" s="808">
        <f t="shared" si="2"/>
        <v>28.557802341386324</v>
      </c>
      <c r="L26" s="808">
        <f t="shared" si="2"/>
        <v>0</v>
      </c>
      <c r="M26" s="808">
        <f t="shared" si="2"/>
        <v>0</v>
      </c>
      <c r="N26" s="808">
        <f t="shared" si="2"/>
        <v>0</v>
      </c>
      <c r="O26" s="808">
        <f t="shared" si="2"/>
        <v>0</v>
      </c>
      <c r="P26" s="808">
        <f t="shared" si="2"/>
        <v>0</v>
      </c>
      <c r="Q26" s="808">
        <f t="shared" si="2"/>
        <v>0</v>
      </c>
      <c r="R26" s="808">
        <f t="shared" si="2"/>
        <v>2623.3593112730587</v>
      </c>
      <c r="S26" s="67"/>
    </row>
    <row r="27" spans="1:19" s="458" customFormat="1" ht="17.25" thickTop="1" thickBot="1">
      <c r="A27" s="699" t="s">
        <v>116</v>
      </c>
      <c r="B27" s="800"/>
      <c r="C27" s="700">
        <f ca="1">C22+C16+C26</f>
        <v>28112.797073846225</v>
      </c>
      <c r="D27" s="700">
        <f t="shared" ref="D27:R27" ca="1" si="3">D22+D16+D26</f>
        <v>0</v>
      </c>
      <c r="E27" s="700">
        <f t="shared" ca="1" si="3"/>
        <v>49010.473391813473</v>
      </c>
      <c r="F27" s="700">
        <f t="shared" si="3"/>
        <v>2663.1803010240369</v>
      </c>
      <c r="G27" s="700">
        <f t="shared" ca="1" si="3"/>
        <v>27962.507289790556</v>
      </c>
      <c r="H27" s="700">
        <f t="shared" si="3"/>
        <v>166843.86941607142</v>
      </c>
      <c r="I27" s="700">
        <f t="shared" si="3"/>
        <v>32170.141066654982</v>
      </c>
      <c r="J27" s="700">
        <f t="shared" si="3"/>
        <v>0</v>
      </c>
      <c r="K27" s="700">
        <f t="shared" si="3"/>
        <v>29.324942147852941</v>
      </c>
      <c r="L27" s="700">
        <f t="shared" si="3"/>
        <v>0</v>
      </c>
      <c r="M27" s="700">
        <f t="shared" ca="1" si="3"/>
        <v>0</v>
      </c>
      <c r="N27" s="700">
        <f t="shared" si="3"/>
        <v>8995.7005107296045</v>
      </c>
      <c r="O27" s="700">
        <f t="shared" ca="1" si="3"/>
        <v>7275.7170751984922</v>
      </c>
      <c r="P27" s="700">
        <f t="shared" si="3"/>
        <v>120.37666666666667</v>
      </c>
      <c r="Q27" s="700">
        <f t="shared" si="3"/>
        <v>190.66666666666666</v>
      </c>
      <c r="R27" s="700">
        <f t="shared" ca="1" si="3"/>
        <v>323374.75440060993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1975.3958012818157</v>
      </c>
      <c r="D40" s="690">
        <f ca="1">tertiair!C20</f>
        <v>0</v>
      </c>
      <c r="E40" s="690">
        <f ca="1">tertiair!D20</f>
        <v>1541.1073790583507</v>
      </c>
      <c r="F40" s="690">
        <f>tertiair!E20</f>
        <v>19.087368094371477</v>
      </c>
      <c r="G40" s="690">
        <f ca="1">tertiair!F20</f>
        <v>517.89164744973323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4053.4821958842708</v>
      </c>
    </row>
    <row r="41" spans="1:18">
      <c r="A41" s="818" t="s">
        <v>225</v>
      </c>
      <c r="B41" s="825"/>
      <c r="C41" s="690">
        <f ca="1">huishoudens!B12</f>
        <v>3567.2338932691719</v>
      </c>
      <c r="D41" s="690">
        <f ca="1">huishoudens!C12</f>
        <v>0</v>
      </c>
      <c r="E41" s="690">
        <f>huishoudens!D12</f>
        <v>7960.1016582260299</v>
      </c>
      <c r="F41" s="690">
        <f>huishoudens!E12</f>
        <v>395.23773222050829</v>
      </c>
      <c r="G41" s="690">
        <f>huishoudens!F12</f>
        <v>6696.233682801445</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18618.806966517157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131.22558700701407</v>
      </c>
      <c r="D43" s="690">
        <f ca="1">industrie!C22</f>
        <v>0</v>
      </c>
      <c r="E43" s="690">
        <f>industrie!D22</f>
        <v>121.5812597092492</v>
      </c>
      <c r="F43" s="690">
        <f>industrie!E22</f>
        <v>19.659610212629424</v>
      </c>
      <c r="G43" s="690">
        <f>industrie!F22</f>
        <v>76.931148340504294</v>
      </c>
      <c r="H43" s="690">
        <f>industrie!G22</f>
        <v>0</v>
      </c>
      <c r="I43" s="690">
        <f>industrie!H22</f>
        <v>0</v>
      </c>
      <c r="J43" s="690">
        <f>industrie!I22</f>
        <v>0</v>
      </c>
      <c r="K43" s="690">
        <f>industrie!J22</f>
        <v>0.27156749148918163</v>
      </c>
      <c r="L43" s="690">
        <f>industrie!K22</f>
        <v>0</v>
      </c>
      <c r="M43" s="690">
        <f>industrie!L22</f>
        <v>0</v>
      </c>
      <c r="N43" s="690">
        <f>industrie!M22</f>
        <v>0</v>
      </c>
      <c r="O43" s="690">
        <f>industrie!N22</f>
        <v>0</v>
      </c>
      <c r="P43" s="690">
        <f>industrie!O22</f>
        <v>0</v>
      </c>
      <c r="Q43" s="767">
        <f>industrie!P22</f>
        <v>0</v>
      </c>
      <c r="R43" s="845">
        <f t="shared" ca="1" si="4"/>
        <v>349.66917276088617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5673.8552815580015</v>
      </c>
      <c r="D46" s="725">
        <f t="shared" ref="D46:Q46" ca="1" si="5">SUM(D39:D45)</f>
        <v>0</v>
      </c>
      <c r="E46" s="725">
        <f t="shared" ca="1" si="5"/>
        <v>9622.7902969936313</v>
      </c>
      <c r="F46" s="725">
        <f t="shared" si="5"/>
        <v>433.98471052750921</v>
      </c>
      <c r="G46" s="725">
        <f t="shared" ca="1" si="5"/>
        <v>7291.0564785916822</v>
      </c>
      <c r="H46" s="725">
        <f t="shared" si="5"/>
        <v>0</v>
      </c>
      <c r="I46" s="725">
        <f t="shared" si="5"/>
        <v>0</v>
      </c>
      <c r="J46" s="725">
        <f t="shared" si="5"/>
        <v>0</v>
      </c>
      <c r="K46" s="725">
        <f t="shared" si="5"/>
        <v>0.27156749148918163</v>
      </c>
      <c r="L46" s="725">
        <f t="shared" si="5"/>
        <v>0</v>
      </c>
      <c r="M46" s="725">
        <f t="shared" ca="1" si="5"/>
        <v>0</v>
      </c>
      <c r="N46" s="725">
        <f t="shared" si="5"/>
        <v>0</v>
      </c>
      <c r="O46" s="725">
        <f t="shared" ca="1" si="5"/>
        <v>0</v>
      </c>
      <c r="P46" s="725">
        <f t="shared" si="5"/>
        <v>0</v>
      </c>
      <c r="Q46" s="725">
        <f t="shared" si="5"/>
        <v>0</v>
      </c>
      <c r="R46" s="725">
        <f ca="1">SUM(R39:R45)</f>
        <v>23021.958335162311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889.00725681226356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889.00725681226356</v>
      </c>
    </row>
    <row r="50" spans="1:18">
      <c r="A50" s="821" t="s">
        <v>307</v>
      </c>
      <c r="B50" s="831"/>
      <c r="C50" s="696">
        <f ca="1">transport!B18</f>
        <v>2.6789734320431591</v>
      </c>
      <c r="D50" s="696">
        <f>transport!C18</f>
        <v>0</v>
      </c>
      <c r="E50" s="696">
        <f>transport!D18</f>
        <v>4.2098029582492345</v>
      </c>
      <c r="F50" s="696">
        <f>transport!E18</f>
        <v>170.01402929218173</v>
      </c>
      <c r="G50" s="696">
        <f>transport!F18</f>
        <v>0</v>
      </c>
      <c r="H50" s="696">
        <f>transport!G18</f>
        <v>43658.305877278806</v>
      </c>
      <c r="I50" s="696">
        <f>transport!H18</f>
        <v>8010.3651255970908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51845.573808558373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2.6789734320431591</v>
      </c>
      <c r="D52" s="725">
        <f t="shared" ref="D52:Q52" ca="1" si="6">SUM(D48:D51)</f>
        <v>0</v>
      </c>
      <c r="E52" s="725">
        <f t="shared" si="6"/>
        <v>4.2098029582492345</v>
      </c>
      <c r="F52" s="725">
        <f t="shared" si="6"/>
        <v>170.01402929218173</v>
      </c>
      <c r="G52" s="725">
        <f t="shared" si="6"/>
        <v>0</v>
      </c>
      <c r="H52" s="725">
        <f t="shared" si="6"/>
        <v>44547.31313409107</v>
      </c>
      <c r="I52" s="725">
        <f t="shared" si="6"/>
        <v>8010.3651255970908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52734.581065370636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39.158341554746478</v>
      </c>
      <c r="D54" s="696">
        <f ca="1">+landbouw!C12</f>
        <v>0</v>
      </c>
      <c r="E54" s="696">
        <f>+landbouw!D12</f>
        <v>34.720540837042101</v>
      </c>
      <c r="F54" s="696">
        <f>+landbouw!E12</f>
        <v>0.54318851276549496</v>
      </c>
      <c r="G54" s="696">
        <f>+landbouw!F12</f>
        <v>174.93296778239568</v>
      </c>
      <c r="H54" s="696">
        <f>+landbouw!G12</f>
        <v>0</v>
      </c>
      <c r="I54" s="696">
        <f>+landbouw!H12</f>
        <v>0</v>
      </c>
      <c r="J54" s="696">
        <f>+landbouw!I12</f>
        <v>0</v>
      </c>
      <c r="K54" s="696">
        <f>+landbouw!J12</f>
        <v>10.109462028850759</v>
      </c>
      <c r="L54" s="696">
        <f>+landbouw!K12</f>
        <v>0</v>
      </c>
      <c r="M54" s="696">
        <f>+landbouw!L12</f>
        <v>0</v>
      </c>
      <c r="N54" s="696">
        <f>+landbouw!M12</f>
        <v>0</v>
      </c>
      <c r="O54" s="696">
        <f>+landbouw!N12</f>
        <v>0</v>
      </c>
      <c r="P54" s="696">
        <f>+landbouw!O12</f>
        <v>0</v>
      </c>
      <c r="Q54" s="697">
        <f>+landbouw!P12</f>
        <v>0</v>
      </c>
      <c r="R54" s="724">
        <f ca="1">SUM(C54:Q54)</f>
        <v>259.46450071580051</v>
      </c>
    </row>
    <row r="55" spans="1:18" ht="15" thickBot="1">
      <c r="A55" s="821" t="s">
        <v>872</v>
      </c>
      <c r="B55" s="831"/>
      <c r="C55" s="696">
        <f ca="1">C25*'EF ele_warmte'!B12</f>
        <v>81.511287685225099</v>
      </c>
      <c r="D55" s="696"/>
      <c r="E55" s="696">
        <f>E25*EF_CO2_aardgas</f>
        <v>238.39498435740225</v>
      </c>
      <c r="F55" s="696"/>
      <c r="G55" s="696"/>
      <c r="H55" s="696"/>
      <c r="I55" s="696"/>
      <c r="J55" s="696"/>
      <c r="K55" s="696"/>
      <c r="L55" s="696"/>
      <c r="M55" s="696"/>
      <c r="N55" s="696"/>
      <c r="O55" s="696"/>
      <c r="P55" s="696"/>
      <c r="Q55" s="697"/>
      <c r="R55" s="724">
        <f ca="1">SUM(C55:Q55)</f>
        <v>319.90627204262734</v>
      </c>
    </row>
    <row r="56" spans="1:18" ht="15.75" thickBot="1">
      <c r="A56" s="819" t="s">
        <v>873</v>
      </c>
      <c r="B56" s="832"/>
      <c r="C56" s="725">
        <f ca="1">SUM(C54:C55)</f>
        <v>120.66962923997158</v>
      </c>
      <c r="D56" s="725">
        <f t="shared" ref="D56:Q56" ca="1" si="7">SUM(D54:D55)</f>
        <v>0</v>
      </c>
      <c r="E56" s="725">
        <f t="shared" si="7"/>
        <v>273.11552519444433</v>
      </c>
      <c r="F56" s="725">
        <f t="shared" si="7"/>
        <v>0.54318851276549496</v>
      </c>
      <c r="G56" s="725">
        <f t="shared" si="7"/>
        <v>174.93296778239568</v>
      </c>
      <c r="H56" s="725">
        <f t="shared" si="7"/>
        <v>0</v>
      </c>
      <c r="I56" s="725">
        <f t="shared" si="7"/>
        <v>0</v>
      </c>
      <c r="J56" s="725">
        <f t="shared" si="7"/>
        <v>0</v>
      </c>
      <c r="K56" s="725">
        <f t="shared" si="7"/>
        <v>10.109462028850759</v>
      </c>
      <c r="L56" s="725">
        <f t="shared" si="7"/>
        <v>0</v>
      </c>
      <c r="M56" s="725">
        <f t="shared" si="7"/>
        <v>0</v>
      </c>
      <c r="N56" s="725">
        <f t="shared" si="7"/>
        <v>0</v>
      </c>
      <c r="O56" s="725">
        <f t="shared" si="7"/>
        <v>0</v>
      </c>
      <c r="P56" s="725">
        <f t="shared" si="7"/>
        <v>0</v>
      </c>
      <c r="Q56" s="726">
        <f t="shared" si="7"/>
        <v>0</v>
      </c>
      <c r="R56" s="727">
        <f ca="1">SUM(R54:R55)</f>
        <v>579.37077275842785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5797.2038842300162</v>
      </c>
      <c r="D61" s="733">
        <f t="shared" ref="D61:Q61" ca="1" si="8">D46+D52+D56</f>
        <v>0</v>
      </c>
      <c r="E61" s="733">
        <f t="shared" ca="1" si="8"/>
        <v>9900.1156251463235</v>
      </c>
      <c r="F61" s="733">
        <f t="shared" si="8"/>
        <v>604.54192833245645</v>
      </c>
      <c r="G61" s="733">
        <f t="shared" ca="1" si="8"/>
        <v>7465.9894463740775</v>
      </c>
      <c r="H61" s="733">
        <f t="shared" si="8"/>
        <v>44547.31313409107</v>
      </c>
      <c r="I61" s="733">
        <f t="shared" si="8"/>
        <v>8010.3651255970908</v>
      </c>
      <c r="J61" s="733">
        <f t="shared" si="8"/>
        <v>0</v>
      </c>
      <c r="K61" s="733">
        <f t="shared" si="8"/>
        <v>10.38102952033994</v>
      </c>
      <c r="L61" s="733">
        <f t="shared" si="8"/>
        <v>0</v>
      </c>
      <c r="M61" s="733">
        <f t="shared" ca="1" si="8"/>
        <v>0</v>
      </c>
      <c r="N61" s="733">
        <f t="shared" si="8"/>
        <v>0</v>
      </c>
      <c r="O61" s="733">
        <f t="shared" ca="1" si="8"/>
        <v>0</v>
      </c>
      <c r="P61" s="733">
        <f t="shared" si="8"/>
        <v>0</v>
      </c>
      <c r="Q61" s="733">
        <f t="shared" si="8"/>
        <v>0</v>
      </c>
      <c r="R61" s="733">
        <f ca="1">R46+R52+R56</f>
        <v>76335.91017329137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0.20621227653022281</v>
      </c>
      <c r="D63" s="776">
        <f t="shared" ca="1" si="9"/>
        <v>0</v>
      </c>
      <c r="E63" s="1011">
        <f t="shared" ca="1" si="9"/>
        <v>0.20200000000000004</v>
      </c>
      <c r="F63" s="776">
        <f t="shared" si="9"/>
        <v>0.22700000000000004</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1881.10529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1881.10529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1881.10529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1881.10529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17298.843469905401</v>
      </c>
      <c r="C4" s="462">
        <f>huishoudens!C8</f>
        <v>0</v>
      </c>
      <c r="D4" s="462">
        <f>huishoudens!D8</f>
        <v>39406.443852604105</v>
      </c>
      <c r="E4" s="462">
        <f>huishoudens!E8</f>
        <v>1741.135384231314</v>
      </c>
      <c r="F4" s="462">
        <f>huishoudens!F8</f>
        <v>25079.526901878071</v>
      </c>
      <c r="G4" s="462">
        <f>huishoudens!G8</f>
        <v>0</v>
      </c>
      <c r="H4" s="462">
        <f>huishoudens!H8</f>
        <v>0</v>
      </c>
      <c r="I4" s="462">
        <f>huishoudens!I8</f>
        <v>0</v>
      </c>
      <c r="J4" s="462">
        <f>huishoudens!J8</f>
        <v>0</v>
      </c>
      <c r="K4" s="462">
        <f>huishoudens!K8</f>
        <v>0</v>
      </c>
      <c r="L4" s="462">
        <f>huishoudens!L8</f>
        <v>0</v>
      </c>
      <c r="M4" s="462">
        <f>huishoudens!M8</f>
        <v>0</v>
      </c>
      <c r="N4" s="462">
        <f>huishoudens!N8</f>
        <v>5176.8955982705465</v>
      </c>
      <c r="O4" s="462">
        <f>huishoudens!O8</f>
        <v>118.81333333333333</v>
      </c>
      <c r="P4" s="463">
        <f>huishoudens!P8</f>
        <v>171.6</v>
      </c>
      <c r="Q4" s="464">
        <f>SUM(B4:P4)</f>
        <v>88993.258540222785</v>
      </c>
    </row>
    <row r="5" spans="1:17">
      <c r="A5" s="461" t="s">
        <v>156</v>
      </c>
      <c r="B5" s="462">
        <f ca="1">tertiair!B16</f>
        <v>9076.0497057991834</v>
      </c>
      <c r="C5" s="462">
        <f ca="1">tertiair!C16</f>
        <v>0</v>
      </c>
      <c r="D5" s="462">
        <f ca="1">tertiair!D16</f>
        <v>7629.2444507839136</v>
      </c>
      <c r="E5" s="462">
        <f>tertiair!E16</f>
        <v>84.085322001636456</v>
      </c>
      <c r="F5" s="462">
        <f ca="1">tertiair!F16</f>
        <v>1939.6690915720346</v>
      </c>
      <c r="G5" s="462">
        <f>tertiair!G16</f>
        <v>0</v>
      </c>
      <c r="H5" s="462">
        <f>tertiair!H16</f>
        <v>0</v>
      </c>
      <c r="I5" s="462">
        <f>tertiair!I16</f>
        <v>0</v>
      </c>
      <c r="J5" s="462">
        <f>tertiair!J16</f>
        <v>0</v>
      </c>
      <c r="K5" s="462">
        <f>tertiair!K16</f>
        <v>0</v>
      </c>
      <c r="L5" s="462">
        <f ca="1">tertiair!L16</f>
        <v>0</v>
      </c>
      <c r="M5" s="462">
        <f>tertiair!M16</f>
        <v>0</v>
      </c>
      <c r="N5" s="462">
        <f ca="1">tertiair!N16</f>
        <v>1951.2802546100634</v>
      </c>
      <c r="O5" s="462">
        <f>tertiair!O16</f>
        <v>1.5633333333333335</v>
      </c>
      <c r="P5" s="463">
        <f>tertiair!P16</f>
        <v>19.066666666666666</v>
      </c>
      <c r="Q5" s="461">
        <f t="shared" ref="Q5:Q14" ca="1" si="0">SUM(B5:P5)</f>
        <v>20700.958824766833</v>
      </c>
    </row>
    <row r="6" spans="1:17">
      <c r="A6" s="461" t="s">
        <v>194</v>
      </c>
      <c r="B6" s="462">
        <f>'openbare verlichting'!B8</f>
        <v>503.37900000000002</v>
      </c>
      <c r="C6" s="462"/>
      <c r="D6" s="462"/>
      <c r="E6" s="462"/>
      <c r="F6" s="462"/>
      <c r="G6" s="462"/>
      <c r="H6" s="462"/>
      <c r="I6" s="462"/>
      <c r="J6" s="462"/>
      <c r="K6" s="462"/>
      <c r="L6" s="462"/>
      <c r="M6" s="462"/>
      <c r="N6" s="462"/>
      <c r="O6" s="462"/>
      <c r="P6" s="463"/>
      <c r="Q6" s="461">
        <f t="shared" si="0"/>
        <v>503.37900000000002</v>
      </c>
    </row>
    <row r="7" spans="1:17">
      <c r="A7" s="461" t="s">
        <v>112</v>
      </c>
      <c r="B7" s="462">
        <f>landbouw!B8</f>
        <v>189.89335753251029</v>
      </c>
      <c r="C7" s="462">
        <f>landbouw!C8</f>
        <v>0</v>
      </c>
      <c r="D7" s="462">
        <f>landbouw!D8</f>
        <v>171.88386552991139</v>
      </c>
      <c r="E7" s="462">
        <f>landbouw!E8</f>
        <v>2.3929009372929291</v>
      </c>
      <c r="F7" s="462">
        <f>landbouw!F8</f>
        <v>655.17965461571407</v>
      </c>
      <c r="G7" s="462">
        <f>landbouw!G8</f>
        <v>0</v>
      </c>
      <c r="H7" s="462">
        <f>landbouw!H8</f>
        <v>0</v>
      </c>
      <c r="I7" s="462">
        <f>landbouw!I8</f>
        <v>0</v>
      </c>
      <c r="J7" s="462">
        <f>landbouw!J8</f>
        <v>28.557802341386324</v>
      </c>
      <c r="K7" s="462">
        <f>landbouw!K8</f>
        <v>0</v>
      </c>
      <c r="L7" s="462">
        <f>landbouw!L8</f>
        <v>0</v>
      </c>
      <c r="M7" s="462">
        <f>landbouw!M8</f>
        <v>0</v>
      </c>
      <c r="N7" s="462">
        <f>landbouw!N8</f>
        <v>0</v>
      </c>
      <c r="O7" s="462">
        <f>landbouw!O8</f>
        <v>0</v>
      </c>
      <c r="P7" s="463">
        <f>landbouw!P8</f>
        <v>0</v>
      </c>
      <c r="Q7" s="461">
        <f t="shared" si="0"/>
        <v>1047.9075809568151</v>
      </c>
    </row>
    <row r="8" spans="1:17">
      <c r="A8" s="461" t="s">
        <v>657</v>
      </c>
      <c r="B8" s="462">
        <f>industrie!B18</f>
        <v>636.36166194878035</v>
      </c>
      <c r="C8" s="462">
        <f>industrie!C18</f>
        <v>0</v>
      </c>
      <c r="D8" s="462">
        <f>industrie!D18</f>
        <v>601.88742430321383</v>
      </c>
      <c r="E8" s="462">
        <f>industrie!E18</f>
        <v>86.606212390437989</v>
      </c>
      <c r="F8" s="462">
        <f>industrie!F18</f>
        <v>288.13164172473518</v>
      </c>
      <c r="G8" s="462">
        <f>industrie!G18</f>
        <v>0</v>
      </c>
      <c r="H8" s="462">
        <f>industrie!H18</f>
        <v>0</v>
      </c>
      <c r="I8" s="462">
        <f>industrie!I18</f>
        <v>0</v>
      </c>
      <c r="J8" s="462">
        <f>industrie!J18</f>
        <v>0.76713980646661484</v>
      </c>
      <c r="K8" s="462">
        <f>industrie!K18</f>
        <v>0</v>
      </c>
      <c r="L8" s="462">
        <f>industrie!L18</f>
        <v>0</v>
      </c>
      <c r="M8" s="462">
        <f>industrie!M18</f>
        <v>0</v>
      </c>
      <c r="N8" s="462">
        <f>industrie!N18</f>
        <v>147.54122231788276</v>
      </c>
      <c r="O8" s="462">
        <f>industrie!O18</f>
        <v>0</v>
      </c>
      <c r="P8" s="463">
        <f>industrie!P18</f>
        <v>0</v>
      </c>
      <c r="Q8" s="461">
        <f t="shared" si="0"/>
        <v>1761.2953024915166</v>
      </c>
    </row>
    <row r="9" spans="1:17" s="467" customFormat="1">
      <c r="A9" s="465" t="s">
        <v>574</v>
      </c>
      <c r="B9" s="466">
        <f>transport!B14</f>
        <v>12.991338232234318</v>
      </c>
      <c r="C9" s="466">
        <f>transport!C14</f>
        <v>0</v>
      </c>
      <c r="D9" s="466">
        <f>transport!D14</f>
        <v>20.840608704204129</v>
      </c>
      <c r="E9" s="466">
        <f>transport!E14</f>
        <v>748.96048146335568</v>
      </c>
      <c r="F9" s="466">
        <f>transport!F14</f>
        <v>0</v>
      </c>
      <c r="G9" s="466">
        <f>transport!G14</f>
        <v>163514.254222018</v>
      </c>
      <c r="H9" s="466">
        <f>transport!H14</f>
        <v>32170.141066654982</v>
      </c>
      <c r="I9" s="466">
        <f>transport!I14</f>
        <v>0</v>
      </c>
      <c r="J9" s="466">
        <f>transport!J14</f>
        <v>0</v>
      </c>
      <c r="K9" s="466">
        <f>transport!K14</f>
        <v>0</v>
      </c>
      <c r="L9" s="466">
        <f>transport!L14</f>
        <v>0</v>
      </c>
      <c r="M9" s="466">
        <f>transport!M14</f>
        <v>8847.6243790897115</v>
      </c>
      <c r="N9" s="466">
        <f>transport!N14</f>
        <v>0</v>
      </c>
      <c r="O9" s="466">
        <f>transport!O14</f>
        <v>0</v>
      </c>
      <c r="P9" s="466">
        <f>transport!P14</f>
        <v>0</v>
      </c>
      <c r="Q9" s="465">
        <f>SUM(B9:P9)</f>
        <v>205314.8120961625</v>
      </c>
    </row>
    <row r="10" spans="1:17">
      <c r="A10" s="461" t="s">
        <v>564</v>
      </c>
      <c r="B10" s="462">
        <f>transport!B54</f>
        <v>0</v>
      </c>
      <c r="C10" s="462">
        <f>transport!C54</f>
        <v>0</v>
      </c>
      <c r="D10" s="462">
        <f>transport!D54</f>
        <v>0</v>
      </c>
      <c r="E10" s="462">
        <f>transport!E54</f>
        <v>0</v>
      </c>
      <c r="F10" s="462">
        <f>transport!F54</f>
        <v>0</v>
      </c>
      <c r="G10" s="462">
        <f>transport!G54</f>
        <v>3329.6151940534214</v>
      </c>
      <c r="H10" s="462">
        <f>transport!H54</f>
        <v>0</v>
      </c>
      <c r="I10" s="462">
        <f>transport!I54</f>
        <v>0</v>
      </c>
      <c r="J10" s="462">
        <f>transport!J54</f>
        <v>0</v>
      </c>
      <c r="K10" s="462">
        <f>transport!K54</f>
        <v>0</v>
      </c>
      <c r="L10" s="462">
        <f>transport!L54</f>
        <v>0</v>
      </c>
      <c r="M10" s="462">
        <f>transport!M54</f>
        <v>148.07613163989248</v>
      </c>
      <c r="N10" s="462">
        <f>transport!N54</f>
        <v>0</v>
      </c>
      <c r="O10" s="462">
        <f>transport!O54</f>
        <v>0</v>
      </c>
      <c r="P10" s="463">
        <f>transport!P54</f>
        <v>0</v>
      </c>
      <c r="Q10" s="461">
        <f t="shared" si="0"/>
        <v>3477.691325693314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395.27854042811401</v>
      </c>
      <c r="C14" s="469"/>
      <c r="D14" s="469">
        <f>'SEAP template'!E25</f>
        <v>1180.1731898881299</v>
      </c>
      <c r="E14" s="469"/>
      <c r="F14" s="469"/>
      <c r="G14" s="469"/>
      <c r="H14" s="469"/>
      <c r="I14" s="469"/>
      <c r="J14" s="469"/>
      <c r="K14" s="469"/>
      <c r="L14" s="469"/>
      <c r="M14" s="469"/>
      <c r="N14" s="469"/>
      <c r="O14" s="469"/>
      <c r="P14" s="470"/>
      <c r="Q14" s="461">
        <f t="shared" si="0"/>
        <v>1575.4517303162438</v>
      </c>
    </row>
    <row r="15" spans="1:17" s="474" customFormat="1">
      <c r="A15" s="471" t="s">
        <v>568</v>
      </c>
      <c r="B15" s="472">
        <f ca="1">SUM(B4:B14)</f>
        <v>28112.797073846225</v>
      </c>
      <c r="C15" s="472">
        <f t="shared" ref="C15:Q15" ca="1" si="1">SUM(C4:C14)</f>
        <v>0</v>
      </c>
      <c r="D15" s="472">
        <f t="shared" ca="1" si="1"/>
        <v>49010.473391813473</v>
      </c>
      <c r="E15" s="472">
        <f t="shared" si="1"/>
        <v>2663.1803010240374</v>
      </c>
      <c r="F15" s="472">
        <f t="shared" ca="1" si="1"/>
        <v>27962.507289790556</v>
      </c>
      <c r="G15" s="472">
        <f t="shared" si="1"/>
        <v>166843.86941607142</v>
      </c>
      <c r="H15" s="472">
        <f t="shared" si="1"/>
        <v>32170.141066654982</v>
      </c>
      <c r="I15" s="472">
        <f t="shared" si="1"/>
        <v>0</v>
      </c>
      <c r="J15" s="472">
        <f t="shared" si="1"/>
        <v>29.324942147852941</v>
      </c>
      <c r="K15" s="472">
        <f t="shared" si="1"/>
        <v>0</v>
      </c>
      <c r="L15" s="472">
        <f t="shared" ca="1" si="1"/>
        <v>0</v>
      </c>
      <c r="M15" s="472">
        <f t="shared" si="1"/>
        <v>8995.7005107296045</v>
      </c>
      <c r="N15" s="472">
        <f t="shared" ca="1" si="1"/>
        <v>7275.7170751984922</v>
      </c>
      <c r="O15" s="472">
        <f t="shared" si="1"/>
        <v>120.37666666666667</v>
      </c>
      <c r="P15" s="472">
        <f t="shared" si="1"/>
        <v>190.66666666666666</v>
      </c>
      <c r="Q15" s="472">
        <f t="shared" ca="1" si="1"/>
        <v>323374.75440061005</v>
      </c>
    </row>
    <row r="17" spans="1:17">
      <c r="A17" s="475" t="s">
        <v>569</v>
      </c>
      <c r="B17" s="781">
        <f ca="1">huishoudens!B10</f>
        <v>0.20621227653022281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3567.2338932691719</v>
      </c>
      <c r="C22" s="462">
        <f t="shared" ref="C22:C32" ca="1" si="3">C4*$C$17</f>
        <v>0</v>
      </c>
      <c r="D22" s="462">
        <f t="shared" ref="D22:D32" si="4">D4*$D$17</f>
        <v>7960.1016582260299</v>
      </c>
      <c r="E22" s="462">
        <f t="shared" ref="E22:E32" si="5">E4*$E$17</f>
        <v>395.23773222050829</v>
      </c>
      <c r="F22" s="462">
        <f t="shared" ref="F22:F32" si="6">F4*$F$17</f>
        <v>6696.233682801445</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18618.806966517157</v>
      </c>
    </row>
    <row r="23" spans="1:17">
      <c r="A23" s="461" t="s">
        <v>156</v>
      </c>
      <c r="B23" s="462">
        <f t="shared" ca="1" si="2"/>
        <v>1871.5928717343086</v>
      </c>
      <c r="C23" s="462">
        <f t="shared" ca="1" si="3"/>
        <v>0</v>
      </c>
      <c r="D23" s="462">
        <f t="shared" ca="1" si="4"/>
        <v>1541.1073790583507</v>
      </c>
      <c r="E23" s="462">
        <f t="shared" si="5"/>
        <v>19.087368094371477</v>
      </c>
      <c r="F23" s="462">
        <f t="shared" ca="1" si="6"/>
        <v>517.89164744973323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3949.6792663367637</v>
      </c>
    </row>
    <row r="24" spans="1:17">
      <c r="A24" s="461" t="s">
        <v>194</v>
      </c>
      <c r="B24" s="462">
        <f t="shared" ca="1" si="2"/>
        <v>103.80292954750703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103.80292954750703</v>
      </c>
    </row>
    <row r="25" spans="1:17">
      <c r="A25" s="461" t="s">
        <v>112</v>
      </c>
      <c r="B25" s="462">
        <f t="shared" ca="1" si="2"/>
        <v>39.158341554746478</v>
      </c>
      <c r="C25" s="462">
        <f t="shared" ca="1" si="3"/>
        <v>0</v>
      </c>
      <c r="D25" s="462">
        <f t="shared" si="4"/>
        <v>34.720540837042101</v>
      </c>
      <c r="E25" s="462">
        <f t="shared" si="5"/>
        <v>0.54318851276549496</v>
      </c>
      <c r="F25" s="462">
        <f t="shared" si="6"/>
        <v>174.93296778239568</v>
      </c>
      <c r="G25" s="462">
        <f t="shared" si="7"/>
        <v>0</v>
      </c>
      <c r="H25" s="462">
        <f t="shared" si="8"/>
        <v>0</v>
      </c>
      <c r="I25" s="462">
        <f t="shared" si="9"/>
        <v>0</v>
      </c>
      <c r="J25" s="462">
        <f t="shared" si="10"/>
        <v>10.109462028850759</v>
      </c>
      <c r="K25" s="462">
        <f t="shared" si="11"/>
        <v>0</v>
      </c>
      <c r="L25" s="462">
        <f t="shared" si="12"/>
        <v>0</v>
      </c>
      <c r="M25" s="462">
        <f t="shared" si="13"/>
        <v>0</v>
      </c>
      <c r="N25" s="462">
        <f t="shared" si="14"/>
        <v>0</v>
      </c>
      <c r="O25" s="462">
        <f t="shared" si="15"/>
        <v>0</v>
      </c>
      <c r="P25" s="463">
        <f t="shared" si="16"/>
        <v>0</v>
      </c>
      <c r="Q25" s="461">
        <f t="shared" ca="1" si="17"/>
        <v>259.46450071580051</v>
      </c>
    </row>
    <row r="26" spans="1:17">
      <c r="A26" s="461" t="s">
        <v>657</v>
      </c>
      <c r="B26" s="462">
        <f t="shared" ca="1" si="2"/>
        <v>131.22558700701407</v>
      </c>
      <c r="C26" s="462">
        <f t="shared" ca="1" si="3"/>
        <v>0</v>
      </c>
      <c r="D26" s="462">
        <f t="shared" si="4"/>
        <v>121.5812597092492</v>
      </c>
      <c r="E26" s="462">
        <f t="shared" si="5"/>
        <v>19.659610212629424</v>
      </c>
      <c r="F26" s="462">
        <f t="shared" si="6"/>
        <v>76.931148340504294</v>
      </c>
      <c r="G26" s="462">
        <f t="shared" si="7"/>
        <v>0</v>
      </c>
      <c r="H26" s="462">
        <f t="shared" si="8"/>
        <v>0</v>
      </c>
      <c r="I26" s="462">
        <f t="shared" si="9"/>
        <v>0</v>
      </c>
      <c r="J26" s="462">
        <f t="shared" si="10"/>
        <v>0.27156749148918163</v>
      </c>
      <c r="K26" s="462">
        <f t="shared" si="11"/>
        <v>0</v>
      </c>
      <c r="L26" s="462">
        <f t="shared" si="12"/>
        <v>0</v>
      </c>
      <c r="M26" s="462">
        <f t="shared" si="13"/>
        <v>0</v>
      </c>
      <c r="N26" s="462">
        <f t="shared" si="14"/>
        <v>0</v>
      </c>
      <c r="O26" s="462">
        <f t="shared" si="15"/>
        <v>0</v>
      </c>
      <c r="P26" s="463">
        <f t="shared" si="16"/>
        <v>0</v>
      </c>
      <c r="Q26" s="461">
        <f t="shared" ca="1" si="17"/>
        <v>349.66917276088617</v>
      </c>
    </row>
    <row r="27" spans="1:17" s="467" customFormat="1">
      <c r="A27" s="465" t="s">
        <v>574</v>
      </c>
      <c r="B27" s="775">
        <f t="shared" ca="1" si="2"/>
        <v>2.6789734320431591</v>
      </c>
      <c r="C27" s="466">
        <f t="shared" ca="1" si="3"/>
        <v>0</v>
      </c>
      <c r="D27" s="466">
        <f t="shared" si="4"/>
        <v>4.2098029582492345</v>
      </c>
      <c r="E27" s="466">
        <f t="shared" si="5"/>
        <v>170.01402929218173</v>
      </c>
      <c r="F27" s="466">
        <f t="shared" si="6"/>
        <v>0</v>
      </c>
      <c r="G27" s="466">
        <f t="shared" si="7"/>
        <v>43658.305877278806</v>
      </c>
      <c r="H27" s="466">
        <f t="shared" si="8"/>
        <v>8010.3651255970908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51845.573808558373</v>
      </c>
    </row>
    <row r="28" spans="1:17">
      <c r="A28" s="461" t="s">
        <v>564</v>
      </c>
      <c r="B28" s="462">
        <f t="shared" ca="1" si="2"/>
        <v>0</v>
      </c>
      <c r="C28" s="462">
        <f t="shared" ca="1" si="3"/>
        <v>0</v>
      </c>
      <c r="D28" s="462">
        <f t="shared" si="4"/>
        <v>0</v>
      </c>
      <c r="E28" s="462">
        <f t="shared" si="5"/>
        <v>0</v>
      </c>
      <c r="F28" s="462">
        <f t="shared" si="6"/>
        <v>0</v>
      </c>
      <c r="G28" s="462">
        <f t="shared" si="7"/>
        <v>889.00725681226356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889.00725681226356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81.511287685225099</v>
      </c>
      <c r="C32" s="462">
        <f t="shared" ca="1" si="3"/>
        <v>0</v>
      </c>
      <c r="D32" s="462">
        <f t="shared" si="4"/>
        <v>238.39498435740225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319.90627204262734</v>
      </c>
    </row>
    <row r="33" spans="1:17" s="474" customFormat="1">
      <c r="A33" s="471" t="s">
        <v>568</v>
      </c>
      <c r="B33" s="472">
        <f ca="1">SUM(B22:B32)</f>
        <v>5797.2038842300162</v>
      </c>
      <c r="C33" s="472">
        <f t="shared" ref="C33:Q33" ca="1" si="18">SUM(C22:C32)</f>
        <v>0</v>
      </c>
      <c r="D33" s="472">
        <f t="shared" ca="1" si="18"/>
        <v>9900.1156251463253</v>
      </c>
      <c r="E33" s="472">
        <f t="shared" si="18"/>
        <v>604.54192833245645</v>
      </c>
      <c r="F33" s="472">
        <f t="shared" ca="1" si="18"/>
        <v>7465.9894463740775</v>
      </c>
      <c r="G33" s="472">
        <f t="shared" si="18"/>
        <v>44547.31313409107</v>
      </c>
      <c r="H33" s="472">
        <f t="shared" si="18"/>
        <v>8010.3651255970908</v>
      </c>
      <c r="I33" s="472">
        <f t="shared" si="18"/>
        <v>0</v>
      </c>
      <c r="J33" s="472">
        <f t="shared" si="18"/>
        <v>10.38102952033994</v>
      </c>
      <c r="K33" s="472">
        <f t="shared" si="18"/>
        <v>0</v>
      </c>
      <c r="L33" s="472">
        <f t="shared" ca="1" si="18"/>
        <v>0</v>
      </c>
      <c r="M33" s="472">
        <f t="shared" si="18"/>
        <v>0</v>
      </c>
      <c r="N33" s="472">
        <f t="shared" ca="1" si="18"/>
        <v>0</v>
      </c>
      <c r="O33" s="472">
        <f t="shared" si="18"/>
        <v>0</v>
      </c>
      <c r="P33" s="472">
        <f t="shared" si="18"/>
        <v>0</v>
      </c>
      <c r="Q33" s="472">
        <f t="shared" ca="1" si="18"/>
        <v>76335.910173291384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1881.10529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1881.10529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0.20621227653022281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0.20621227653022281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2019-08-12T08:02:06Z</dcterms:modified>
</cp:coreProperties>
</file>