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<sst xmlns="http://schemas.openxmlformats.org/spreadsheetml/2006/main" count="2432" uniqueCount="913">
  <si>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</si>
  <si>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</si>
  <si>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</si>
  <si>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</si>
  <si>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</si>
  <si>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</si>
  <si>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</si>
  <si>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</si>
  <si>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</si>
  <si>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</si>
  <si>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</si>
  <si>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</si>
  <si>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</si>
  <si>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</si>
  <si>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</si>
  <si>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</si>
  <si>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</si>
  <si>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</si>
  <si>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</si>
  <si>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</si>
  <si>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</si>
  <si>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</si>
  <si>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</si>
  <si>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</si>
  <si>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</si>
  <si>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</si>
  <si>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</si>
  <si>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</si>
  <si>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</si>
  <si>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</si>
  <si>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</si>
  <si>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</si>
  <si>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</si>
  <si>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</si>
  <si>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</si>
  <si>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</si>
  <si>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</si>
  <si>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</si>
  <si>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</si>
  <si>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</si>
  <si>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</si>
  <si>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</si>
  <si>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</si>
  <si>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</si>
  <si>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</si>
  <si>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</si>
  <si>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</si>
  <si>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</si>
  <si>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</si>
  <si>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</si>
  <si>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</si>
  <si>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</si>
  <si>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</si>
  <si>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</si>
  <si>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</si>
  <si>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</si>
  <si>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</si>
  <si>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</si>
  <si>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</si>
  <si>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</si>
  <si>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</si>
  <si>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</si>
  <si>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</si>
  <si>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</si>
  <si>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</si>
  <si>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</si>
  <si>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</si>
  <si>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</si>
  <si>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</si>
  <si>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</si>
  <si>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</si>
  <si>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</si>
  <si>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</si>
  <si>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</si>
  <si>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</si>
  <si>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</si>
  <si>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</si>
  <si>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</si>
  <si>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</si>
  <si>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</si>
  <si>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</si>
  <si>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</si>
  <si>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</si>
  <si>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</si>
  <si>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</si>
  <si>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</si>
  <si>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</si>
  <si>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</si>
  <si>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</si>
  <si>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</si>
  <si>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</si>
  <si>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</si>
  <si>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</si>
  <si>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</si>
  <si>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</si>
  <si>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</si>
  <si>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</si>
  <si>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</si>
  <si>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</si>
  <si>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</si>
  <si>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</si>
  <si>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</si>
  <si>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</si>
  <si>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</si>
  <si>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</si>
  <si>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</si>
  <si>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</si>
  <si>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</si>
  <si>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</si>
  <si>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</si>
  <si>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</si>
  <si>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</si>
  <si>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</si>
  <si>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</si>
  <si>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</si>
  <si>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</si>
  <si>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</si>
  <si>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</si>
  <si>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</si>
  <si>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</si>
  <si>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</si>
  <si>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</si>
  <si>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</si>
  <si>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</si>
  <si>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</si>
  <si>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</si>
  <si>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</si>
  <si>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</si>
  <si>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</si>
  <si>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</si>
  <si>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</si>
  <si>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</si>
  <si>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</si>
  <si>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</si>
  <si>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</si>
  <si>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</si>
  <si>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</si>
  <si>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</si>
  <si>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</si>
  <si>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</si>
  <si>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</si>
  <si>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</si>
  <si>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</si>
  <si>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</si>
  <si>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</si>
  <si>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</si>
  <si>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</si>
  <si>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</si>
  <si>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</si>
  <si>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</si>
  <si>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</si>
  <si>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</si>
  <si>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</si>
  <si>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</si>
  <si>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</si>
  <si>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</si>
  <si>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</si>
  <si>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</si>
  <si>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</si>
  <si>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</si>
  <si>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</si>
  <si>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</si>
  <si>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</si>
  <si>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</si>
  <si>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</si>
  <si>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</si>
  <si>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</si>
  <si>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</si>
  <si>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</si>
  <si>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</si>
  <si>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</si>
  <si>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</si>
  <si>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</si>
  <si>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</si>
  <si>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</si>
  <si>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</si>
  <si>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</si>
  <si>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</si>
  <si>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</si>
  <si>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</si>
  <si>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</si>
  <si>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</si>
  <si>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</si>
  <si>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</si>
  <si>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</si>
  <si>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</si>
  <si>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</si>
  <si>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</si>
  <si>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</si>
  <si>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</si>
  <si>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</si>
  <si>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</si>
  <si>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</si>
  <si>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</si>
  <si>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</si>
  <si>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</si>
  <si>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</si>
  <si>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</si>
  <si>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</si>
  <si>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</si>
  <si>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</si>
  <si>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</si>
  <si>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</si>
  <si>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</si>
  <si>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</si>
  <si>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</si>
  <si>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</si>
  <si>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</si>
  <si>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</si>
  <si>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</si>
  <si>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</si>
  <si>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</si>
  <si>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</si>
  <si>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</si>
  <si>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</si>
  <si>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</si>
  <si>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</si>
  <si>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</si>
  <si>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</si>
  <si>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</si>
  <si>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</si>
  <si>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</si>
  <si>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</si>
  <si>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</si>
  <si>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</si>
  <si>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</si>
  <si>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</si>
  <si>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</si>
  <si>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</si>
  <si>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</si>
  <si>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</si>
  <si>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</si>
  <si>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</si>
  <si>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</si>
  <si>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</si>
  <si>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</si>
  <si>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</si>
  <si>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</si>
  <si>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</si>
  <si>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</si>
  <si>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</si>
  <si>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</si>
  <si>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</si>
  <si>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</si>
  <si>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</si>
  <si>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</si>
  <si>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</si>
  <si>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</si>
  <si>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</si>
  <si>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</si>
  <si>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</si>
  <si>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</si>
  <si>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</si>
  <si>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</si>
  <si>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</si>
  <si>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</si>
  <si>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</si>
  <si>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</si>
  <si>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</si>
  <si>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</si>
  <si>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</si>
  <si>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</si>
  <si>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</si>
  <si>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</si>
  <si>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</si>
  <si>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</si>
  <si>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</si>
  <si>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</si>
  <si>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</si>
  <si>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</si>
  <si>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</si>
  <si>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</si>
  <si>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</si>
  <si>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</si>
  <si>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</si>
  <si>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</si>
  <si>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</si>
  <si>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</si>
  <si>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</si>
  <si>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</si>
  <si>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</si>
  <si>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</si>
  <si>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</si>
  <si>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</si>
  <si>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</si>
  <si>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</si>
  <si>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</si>
  <si>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</si>
  <si>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</si>
  <si>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</si>
  <si>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</si>
  <si>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</si>
  <si>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</si>
  <si>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</si>
  <si>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</si>
  <si>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</si>
  <si>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</si>
  <si>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</si>
  <si>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</si>
  <si>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</si>
  <si>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</si>
  <si>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</si>
  <si>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</si>
  <si>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</si>
  <si>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</si>
  <si>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</si>
  <si>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</si>
  <si>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</si>
  <si>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</si>
  <si>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</si>
  <si>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</si>
  <si>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</si>
  <si>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</si>
  <si>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</si>
  <si>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</si>
  <si>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</si>
  <si>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</si>
  <si>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</si>
  <si>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</si>
  <si>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</si>
  <si>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</si>
  <si>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</si>
  <si>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</si>
  <si>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</si>
  <si>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</si>
  <si>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</si>
  <si>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</si>
  <si>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</si>
  <si>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</si>
  <si>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</si>
  <si>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</si>
  <si>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</si>
  <si>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</si>
  <si>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</si>
  <si>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</si>
  <si>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</si>
  <si>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</si>
  <si>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</si>
  <si>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</si>
  <si>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</si>
  <si>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</si>
  <si>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</si>
  <si>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</si>
  <si>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</si>
  <si>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</si>
  <si>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</si>
  <si>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</si>
  <si>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</si>
  <si>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</si>
  <si>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</si>
  <si>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</si>
  <si>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</si>
  <si>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</si>
  <si>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</si>
  <si>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</si>
  <si>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</si>
  <si>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</si>
  <si>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</si>
  <si>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</si>
  <si>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</si>
  <si>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</si>
  <si>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</si>
  <si>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</si>
  <si>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</si>
  <si>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</si>
  <si>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</si>
  <si>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</si>
  <si>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</si>
  <si>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</si>
  <si>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</si>
  <si>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</si>
  <si>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</si>
  <si>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</si>
  <si>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</si>
  <si>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</si>
  <si>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</si>
  <si>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</si>
  <si>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</si>
  <si>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</si>
  <si>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</si>
  <si>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</si>
  <si>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</si>
  <si>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</si>
  <si>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</si>
  <si>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</si>
  <si>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</si>
  <si>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</si>
  <si>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</si>
  <si>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</si>
  <si>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</si>
  <si>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</si>
  <si>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</si>
  <si>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</si>
  <si>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</si>
  <si>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</si>
  <si>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</si>
  <si>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</si>
  <si>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</si>
  <si>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</si>
  <si>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</si>
  <si>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</si>
  <si>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</si>
  <si>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</si>
  <si>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</si>
  <si>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</si>
  <si>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</si>
  <si>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</si>
  <si>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</si>
  <si>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</si>
  <si>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</si>
  <si>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</si>
  <si>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</si>
  <si>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</si>
  <si>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</si>
  <si>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</si>
  <si>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</si>
  <si>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</si>
  <si>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</si>
  <si>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</si>
  <si>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</si>
  <si>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</si>
  <si>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</si>
  <si>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</si>
  <si>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</si>
  <si>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</si>
  <si>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</si>
  <si>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</si>
  <si>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</si>
  <si>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</si>
  <si>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</si>
  <si>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</si>
  <si>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</si>
  <si>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</si>
  <si>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</si>
  <si>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</si>
  <si>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</si>
  <si>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</si>
  <si>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</si>
  <si>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</si>
  <si>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</si>
  <si>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</si>
  <si>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</si>
  <si>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</si>
  <si>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</si>
  <si>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</si>
  <si>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</si>
  <si>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</si>
  <si>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</si>
  <si>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</si>
  <si>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</si>
  <si>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</si>
  <si>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</si>
  <si>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</si>
  <si>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</si>
  <si>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</si>
  <si>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</si>
  <si>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</si>
  <si>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</si>
  <si>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</si>
  <si>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</si>
  <si>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</si>
  <si>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</si>
  <si>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</si>
  <si>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</si>
  <si>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</si>
  <si>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</si>
  <si>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</si>
  <si>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</si>
  <si>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</si>
  <si>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</si>
  <si>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</si>
  <si>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</si>
  <si>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</si>
  <si>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</si>
  <si>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</si>
  <si>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</si>
  <si>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</si>
  <si>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</si>
  <si>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</si>
  <si>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</si>
  <si>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</si>
  <si>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</si>
  <si>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</si>
  <si>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</si>
  <si>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</si>
  <si>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</si>
  <si>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</si>
  <si>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</si>
  <si>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</si>
  <si>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</si>
  <si>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</si>
  <si>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</si>
  <si>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</si>
  <si>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</si>
  <si>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</si>
  <si>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</si>
  <si>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</si>
  <si>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</si>
  <si>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</si>
  <si>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</si>
  <si>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</si>
  <si>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</si>
  <si>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</si>
  <si>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</si>
  <si>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</si>
  <si>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</si>
  <si>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</si>
  <si>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</si>
  <si>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</si>
  <si>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</si>
  <si>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</si>
  <si>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</si>
  <si>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</si>
  <si>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</si>
  <si>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</si>
  <si>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</si>
  <si>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</si>
  <si>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</si>
  <si>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</si>
  <si>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</si>
  <si>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</si>
  <si>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</si>
  <si>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</si>
  <si>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</si>
  <si>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</si>
  <si>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</si>
  <si>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</si>
  <si>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</si>
  <si>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</si>
  <si>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</si>
  <si>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</si>
  <si>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</si>
  <si>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</si>
  <si>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</si>
  <si>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</si>
  <si>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</si>
  <si>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</si>
  <si>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</si>
  <si>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</si>
  <si>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</si>
  <si>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</si>
  <si>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</si>
  <si>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</si>
  <si>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</si>
  <si>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</si>
  <si>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</si>
  <si>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</si>
  <si>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</si>
  <si>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</si>
  <si>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</si>
  <si>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</si>
  <si>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</si>
  <si>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</si>
  <si>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</si>
  <si>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</si>
  <si>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</si>
  <si>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</si>
  <si>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</si>
  <si>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</si>
  <si>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</si>
  <si>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</si>
  <si>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</si>
  <si>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</si>
  <si>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</si>
  <si>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</si>
  <si>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</si>
  <si>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</si>
  <si>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</si>
  <si>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</si>
  <si>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</si>
  <si>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</si>
  <si>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</si>
  <si>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</si>
  <si>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</si>
  <si>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</si>
  <si>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</si>
  <si>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</si>
  <si>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</si>
  <si>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</si>
  <si>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</si>
  <si>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</si>
  <si>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</si>
  <si>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</si>
  <si>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</si>
  <si>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</si>
  <si>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</si>
  <si>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</si>
  <si>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</si>
  <si>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</si>
  <si>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</si>
  <si>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</si>
  <si>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</si>
  <si>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</si>
  <si>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</si>
  <si>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</si>
  <si>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</si>
  <si>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</si>
  <si>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</si>
  <si>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</si>
  <si>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</si>
  <si>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</si>
  <si>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</si>
  <si>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</si>
  <si>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</si>
  <si>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</si>
  <si>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</si>
  <si>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</si>
  <si>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</si>
  <si>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</si>
  <si>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</si>
  <si>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</si>
  <si>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</si>
  <si>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</si>
  <si>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</si>
  <si>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</si>
  <si>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</si>
  <si>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</si>
  <si>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</si>
  <si>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</si>
  <si>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</si>
  <si>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</si>
  <si>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</si>
  <si>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</si>
  <si>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</si>
  <si>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</si>
  <si>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</si>
  <si>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</si>
  <si>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</si>
  <si>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</si>
  <si>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</si>
  <si>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</si>
  <si>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</si>
  <si>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</si>
  <si>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</si>
  <si>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</si>
  <si>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</si>
  <si>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</si>
  <si>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</si>
  <si>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</si>
  <si>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</si>
  <si>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</si>
  <si>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</si>
  <si>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</si>
  <si>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</si>
  <si>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</si>
  <si>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</si>
  <si>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</si>
  <si>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</si>
  <si>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</si>
  <si>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</si>
  <si>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</si>
  <si>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</si>
  <si>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</si>
  <si>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</si>
  <si>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</si>
  <si>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</si>
  <si>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</si>
  <si>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</si>
  <si>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</si>
  <si>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</si>
  <si>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</si>
  <si>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</si>
  <si>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</si>
  <si>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</si>
  <si>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</si>
  <si>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</si>
  <si>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</si>
  <si>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</si>
  <si>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</si>
  <si>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</si>
  <si>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</si>
  <si>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</si>
  <si>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</si>
  <si>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</si>
  <si>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</si>
  <si>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</si>
  <si>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</si>
  <si>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</si>
  <si>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</si>
  <si>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</si>
  <si>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</si>
  <si>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</si>
  <si>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</si>
  <si>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</si>
  <si>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</si>
  <si>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</si>
  <si>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</si>
  <si>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</si>
  <si>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</si>
  <si>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</si>
  <si>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</si>
  <si>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</si>
  <si>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</si>
  <si>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</si>
  <si>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</si>
  <si>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</si>
  <si>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</si>
  <si>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</si>
  <si>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</si>
  <si>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</si>
  <si>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</si>
  <si>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</si>
  <si>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</si>
  <si>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</si>
  <si>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</si>
  <si>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</si>
  <si>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</si>
  <si>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</si>
  <si>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</si>
  <si>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</si>
  <si>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</si>
  <si>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</si>
  <si>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</si>
  <si>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</si>
  <si>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</si>
  <si>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</si>
  <si>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</si>
  <si>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</si>
  <si>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</si>
  <si>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</si>
  <si>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</si>
  <si>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</si>
  <si>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</si>
  <si>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</si>
  <si>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</si>
  <si>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</si>
  <si>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</si>
  <si>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</si>
  <si>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</si>
  <si>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</si>
  <si>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</si>
  <si>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</si>
  <si>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</si>
  <si>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</si>
  <si>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</si>
  <si>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</si>
  <si>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</si>
  <si>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</si>
  <si>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</si>
  <si>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</si>
  <si>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</si>
  <si>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</si>
  <si>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</si>
  <si>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</si>
  <si>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</si>
  <si>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</si>
  <si>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</si>
  <si>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</si>
  <si>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</si>
  <si>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</si>
  <si>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</si>
  <si>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</si>
  <si>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</si>
  <si>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</si>
  <si>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</si>
  <si>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</si>
  <si>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</si>
  <si>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</si>
  <si>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</si>
  <si>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</si>
  <si>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</si>
  <si>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</si>
  <si>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</si>
  <si>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</si>
  <si>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</si>
  <si>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</si>
  <si>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</si>
  <si>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</si>
  <si>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</si>
  <si>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</si>
  <si>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</si>
  <si>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</si>
  <si>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</si>
  <si>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</si>
  <si>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</si>
  <si>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</si>
  <si>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</si>
  <si>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</si>
  <si>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</si>
  <si>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</si>
  <si>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</si>
  <si>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</si>
  <si>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</si>
  <si>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</si>
  <si>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</si>
  <si>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</si>
  <si>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</si>
  <si>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</si>
  <si>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</si>
  <si>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</si>
  <si>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</si>
  <si>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</si>
  <si>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</si>
  <si>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</si>
  <si>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</si>
  <si>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</si>
  <si>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</si>
  <si>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</si>
  <si>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</si>
  <si>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</si>
  <si>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</si>
  <si>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</si>
  <si>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</si>
  <si>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</si>
  <si>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</si>
  <si>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</si>
  <si>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</si>
  <si>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</si>
  <si>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</si>
  <si>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</si>
  <si>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</si>
  <si>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</si>
  <si>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</si>
  <si>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</si>
  <si>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</si>
  <si>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</si>
  <si>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</si>
  <si>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</si>
  <si>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</si>
  <si>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</si>
  <si>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</si>
  <si>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</si>
  <si>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</si>
  <si>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</si>
  <si>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</si>
  <si>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</si>
  <si>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</si>
  <si>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</si>
  <si>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</si>
  <si>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</si>
  <si>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</si>
  <si>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</si>
  <si>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</si>
  <si>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</si>
  <si>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</si>
  <si>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</si>
  <si>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</si>
  <si>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</si>
  <si>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</si>
  <si>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</si>
  <si>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</si>
  <si>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</si>
  <si>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</si>
  <si>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</si>
  <si>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</si>
  <si>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</si>
  <si>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</si>
  <si>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</si>
  <si>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</si>
  <si>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</si>
  <si>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</si>
  <si>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</si>
  <si>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</si>
  <si>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</si>
  <si>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</si>
  <si>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</si>
  <si>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</si>
  <si>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</si>
  <si>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</si>
  <si>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</si>
  <si>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</si>
  <si>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</si>
  <si>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</si>
  <si>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</si>
  <si>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</si>
  <si>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</si>
  <si>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</si>
  <si>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</si>
  <si>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</si>
  <si>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</si>
  <si>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</si>
  <si>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</si>
  <si>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</si>
  <si>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</si>
  <si>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</si>
  <si>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</si>
  <si>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</si>
  <si>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</si>
  <si>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</si>
  <si>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</si>
  <si>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</si>
  <si>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</si>
  <si>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</si>
  <si>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</si>
  <si>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</si>
  <si>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</si>
  <si>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</si>
  <si>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</si>
  <si>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</si>
  <si>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</si>
  <si>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</si>
  <si>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</si>
  <si>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</si>
  <si>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</si>
  <si>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</si>
  <si>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</si>
  <si>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</si>
  <si>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</si>
  <si>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</si>
  <si>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</si>
  <si>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</si>
  <si>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</si>
  <si>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</si>
  <si>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</si>
  <si>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</si>
  <si>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</si>
  <si>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23101</t>
  </si>
  <si>
    <t>SINT-GENESIUS-RODE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</si>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</sst>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200625.73183724805</c:v>
                </c:pt>
                <c:pt idx="1">
                  <c:v>56689.559302355352</c:v>
                </c:pt>
                <c:pt idx="2">
                  <c:v>1194.2360000000001</c:v>
                </c:pt>
                <c:pt idx="3">
                  <c:v>338.78240553235861</c:v>
                </c:pt>
                <c:pt idx="4">
                  <c:v>5894.3528732666782</c:v>
                </c:pt>
                <c:pt idx="5">
                  <c:v>85985.668250319068</c:v>
                </c:pt>
                <c:pt idx="6">
                  <c:v>1864.3148411220832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200625.73183724805</c:v>
                </c:pt>
                <c:pt idx="1">
                  <c:v>56689.559302355352</c:v>
                </c:pt>
                <c:pt idx="2">
                  <c:v>1194.2360000000001</c:v>
                </c:pt>
                <c:pt idx="3">
                  <c:v>338.78240553235861</c:v>
                </c:pt>
                <c:pt idx="4">
                  <c:v>5894.3528732666782</c:v>
                </c:pt>
                <c:pt idx="5">
                  <c:v>85985.668250319068</c:v>
                </c:pt>
                <c:pt idx="6">
                  <c:v>1864.3148411220832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40316.485133965245</c:v>
                </c:pt>
                <c:pt idx="2">
                  <c:v>11633.757388945925</c:v>
                </c:pt>
                <c:pt idx="3">
                  <c:v>258.63832535602853</c:v>
                </c:pt>
                <c:pt idx="4">
                  <c:v>85.414939177182987</c:v>
                </c:pt>
                <c:pt idx="5">
                  <c:v>1176.5846371121011</c:v>
                </c:pt>
                <c:pt idx="6">
                  <c:v>21640.921465452157</c:v>
                </c:pt>
                <c:pt idx="7">
                  <c:v>476.57749567808935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40316.485133965245</c:v>
                </c:pt>
                <c:pt idx="2">
                  <c:v>11633.757388945925</c:v>
                </c:pt>
                <c:pt idx="3">
                  <c:v>258.63832535602853</c:v>
                </c:pt>
                <c:pt idx="4">
                  <c:v>85.414939177182987</c:v>
                </c:pt>
                <c:pt idx="5">
                  <c:v>1176.5846371121011</c:v>
                </c:pt>
                <c:pt idx="6">
                  <c:v>21640.921465452157</c:v>
                </c:pt>
                <c:pt idx="7">
                  <c:v>476.57749567808935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23101</v>
      </c>
      <c r="B6" s="398"/>
      <c r="C6" s="399"/>
    </row>
    <row r="7" spans="1:7" s="396" customFormat="1" ht="15.75" customHeight="1">
      <c r="A7" s="400" t="str">
        <f>txtMunicipality</f>
        <v>SINT-GENESIUS-RODE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18111.86517614267</v>
      </c>
      <c r="D10" s="690">
        <f ca="1">tertiair!C16</f>
        <v>0</v>
      </c>
      <c r="E10" s="690">
        <f ca="1">tertiair!D16</f>
        <v>34872.93091411981</v>
      </c>
      <c r="F10" s="690">
        <f>tertiair!E16</f>
        <v>139.76986148175484</v>
      </c>
      <c r="G10" s="690">
        <f ca="1">tertiair!F16</f>
        <v>3347.6004112061787</v>
      </c>
      <c r="H10" s="690">
        <f>tertiair!G16</f>
        <v>0</v>
      </c>
      <c r="I10" s="690">
        <f>tertiair!H16</f>
        <v>0</v>
      </c>
      <c r="J10" s="690">
        <f>tertiair!I16</f>
        <v>0</v>
      </c>
      <c r="K10" s="690">
        <f>tertiair!J16</f>
        <v>0</v>
      </c>
      <c r="L10" s="690">
        <f>tertiair!K16</f>
        <v>0</v>
      </c>
      <c r="M10" s="690">
        <f ca="1">tertiair!L16</f>
        <v>0</v>
      </c>
      <c r="N10" s="690">
        <f>tertiair!M16</f>
        <v>0</v>
      </c>
      <c r="O10" s="690">
        <f ca="1">tertiair!N16</f>
        <v>1410.0656060716062</v>
      </c>
      <c r="P10" s="690">
        <f>tertiair!O16</f>
        <v>1.5633333333333335</v>
      </c>
      <c r="Q10" s="691">
        <f>tertiair!P16</f>
        <v>0</v>
      </c>
      <c r="R10" s="693">
        <f ca="1">SUM(C10:Q10)</f>
        <v>57883.795302355349</v>
      </c>
      <c r="S10" s="67"/>
    </row>
    <row r="11" spans="1:19" s="458" customFormat="1">
      <c r="A11" s="805" t="s">
        <v>225</v>
      </c>
      <c r="B11" s="810"/>
      <c r="C11" s="690">
        <f>huishoudens!B8</f>
        <v>35197.348507528397</v>
      </c>
      <c r="D11" s="690">
        <f>huishoudens!C8</f>
        <v>0</v>
      </c>
      <c r="E11" s="690">
        <f>huishoudens!D8</f>
        <v>143762.02471965624</v>
      </c>
      <c r="F11" s="690">
        <f>huishoudens!E8</f>
        <v>873.66294478597183</v>
      </c>
      <c r="G11" s="690">
        <f>huishoudens!F8</f>
        <v>12941.824832003625</v>
      </c>
      <c r="H11" s="690">
        <f>huishoudens!G8</f>
        <v>0</v>
      </c>
      <c r="I11" s="690">
        <f>huishoudens!H8</f>
        <v>0</v>
      </c>
      <c r="J11" s="690">
        <f>huishoudens!I8</f>
        <v>0</v>
      </c>
      <c r="K11" s="690">
        <f>huishoudens!J8</f>
        <v>0</v>
      </c>
      <c r="L11" s="690">
        <f>huishoudens!K8</f>
        <v>0</v>
      </c>
      <c r="M11" s="690">
        <f>huishoudens!L8</f>
        <v>0</v>
      </c>
      <c r="N11" s="690">
        <f>huishoudens!M8</f>
        <v>0</v>
      </c>
      <c r="O11" s="690">
        <f>huishoudens!N8</f>
        <v>7642.3641666071426</v>
      </c>
      <c r="P11" s="690">
        <f>huishoudens!O8</f>
        <v>75.040000000000006</v>
      </c>
      <c r="Q11" s="691">
        <f>huishoudens!P8</f>
        <v>133.46666666666667</v>
      </c>
      <c r="R11" s="693">
        <f>SUM(C11:Q11)</f>
        <v>200625.73183724805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1607.8964875961913</v>
      </c>
      <c r="D13" s="690">
        <f>industrie!C18</f>
        <v>0</v>
      </c>
      <c r="E13" s="690">
        <f>industrie!D18</f>
        <v>2428.439016962132</v>
      </c>
      <c r="F13" s="690">
        <f>industrie!E18</f>
        <v>372.93761546776784</v>
      </c>
      <c r="G13" s="690">
        <f>industrie!F18</f>
        <v>947.45829110670854</v>
      </c>
      <c r="H13" s="690">
        <f>industrie!G18</f>
        <v>0</v>
      </c>
      <c r="I13" s="690">
        <f>industrie!H18</f>
        <v>0</v>
      </c>
      <c r="J13" s="690">
        <f>industrie!I18</f>
        <v>0</v>
      </c>
      <c r="K13" s="690">
        <f>industrie!J18</f>
        <v>0.52560293102270195</v>
      </c>
      <c r="L13" s="690">
        <f>industrie!K18</f>
        <v>0</v>
      </c>
      <c r="M13" s="690">
        <f>industrie!L18</f>
        <v>0</v>
      </c>
      <c r="N13" s="690">
        <f>industrie!M18</f>
        <v>0</v>
      </c>
      <c r="O13" s="690">
        <f>industrie!N18</f>
        <v>537.0958592028569</v>
      </c>
      <c r="P13" s="690">
        <f>industrie!O18</f>
        <v>0</v>
      </c>
      <c r="Q13" s="691">
        <f>industrie!P18</f>
        <v>0</v>
      </c>
      <c r="R13" s="693">
        <f>SUM(C13:Q13)</f>
        <v>5894.3528732666782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54917.110171267261</v>
      </c>
      <c r="D16" s="725">
        <f t="shared" ref="D16:R16" ca="1" si="0">SUM(D9:D15)</f>
        <v>0</v>
      </c>
      <c r="E16" s="725">
        <f t="shared" ca="1" si="0"/>
        <v>181063.39465073819</v>
      </c>
      <c r="F16" s="725">
        <f t="shared" si="0"/>
        <v>1386.3704217354943</v>
      </c>
      <c r="G16" s="725">
        <f t="shared" ca="1" si="0"/>
        <v>17236.883534316512</v>
      </c>
      <c r="H16" s="725">
        <f t="shared" si="0"/>
        <v>0</v>
      </c>
      <c r="I16" s="725">
        <f t="shared" si="0"/>
        <v>0</v>
      </c>
      <c r="J16" s="725">
        <f t="shared" si="0"/>
        <v>0</v>
      </c>
      <c r="K16" s="725">
        <f t="shared" si="0"/>
        <v>0.52560293102270195</v>
      </c>
      <c r="L16" s="725">
        <f t="shared" si="0"/>
        <v>0</v>
      </c>
      <c r="M16" s="725">
        <f t="shared" ca="1" si="0"/>
        <v>0</v>
      </c>
      <c r="N16" s="725">
        <f t="shared" si="0"/>
        <v>0</v>
      </c>
      <c r="O16" s="725">
        <f t="shared" ca="1" si="0"/>
        <v>9589.5256318816046</v>
      </c>
      <c r="P16" s="725">
        <f t="shared" si="0"/>
        <v>76.603333333333339</v>
      </c>
      <c r="Q16" s="725">
        <f t="shared" si="0"/>
        <v>133.46666666666667</v>
      </c>
      <c r="R16" s="725">
        <f t="shared" ca="1" si="0"/>
        <v>264403.88001287007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1784.9344407419076</v>
      </c>
      <c r="I19" s="690">
        <f>transport!H54</f>
        <v>0</v>
      </c>
      <c r="J19" s="690">
        <f>transport!I54</f>
        <v>0</v>
      </c>
      <c r="K19" s="690">
        <f>transport!J54</f>
        <v>0</v>
      </c>
      <c r="L19" s="690">
        <f>transport!K54</f>
        <v>0</v>
      </c>
      <c r="M19" s="690">
        <f>transport!L54</f>
        <v>0</v>
      </c>
      <c r="N19" s="690">
        <f>transport!M54</f>
        <v>79.380400380175573</v>
      </c>
      <c r="O19" s="690">
        <f>transport!N54</f>
        <v>0</v>
      </c>
      <c r="P19" s="690">
        <f>transport!O54</f>
        <v>0</v>
      </c>
      <c r="Q19" s="691">
        <f>transport!P54</f>
        <v>0</v>
      </c>
      <c r="R19" s="693">
        <f>SUM(C19:Q19)</f>
        <v>1864.3148411220832</v>
      </c>
      <c r="S19" s="67"/>
    </row>
    <row r="20" spans="1:19" s="458" customFormat="1">
      <c r="A20" s="805" t="s">
        <v>307</v>
      </c>
      <c r="B20" s="810"/>
      <c r="C20" s="690">
        <f>transport!B14</f>
        <v>5.6794322130682113</v>
      </c>
      <c r="D20" s="690">
        <f>transport!C14</f>
        <v>0</v>
      </c>
      <c r="E20" s="690">
        <f>transport!D14</f>
        <v>11.78483332789467</v>
      </c>
      <c r="F20" s="690">
        <f>transport!E14</f>
        <v>348.97901182161178</v>
      </c>
      <c r="G20" s="690">
        <f>transport!F14</f>
        <v>0</v>
      </c>
      <c r="H20" s="690">
        <f>transport!G14</f>
        <v>64539.604390140521</v>
      </c>
      <c r="I20" s="690">
        <f>transport!H14</f>
        <v>17373.567526522133</v>
      </c>
      <c r="J20" s="690">
        <f>transport!I14</f>
        <v>0</v>
      </c>
      <c r="K20" s="690">
        <f>transport!J14</f>
        <v>0</v>
      </c>
      <c r="L20" s="690">
        <f>transport!K14</f>
        <v>0</v>
      </c>
      <c r="M20" s="690">
        <f>transport!L14</f>
        <v>0</v>
      </c>
      <c r="N20" s="690">
        <f>transport!M14</f>
        <v>3706.0530562938366</v>
      </c>
      <c r="O20" s="690">
        <f>transport!N14</f>
        <v>0</v>
      </c>
      <c r="P20" s="690">
        <f>transport!O14</f>
        <v>0</v>
      </c>
      <c r="Q20" s="691">
        <f>transport!P14</f>
        <v>0</v>
      </c>
      <c r="R20" s="693">
        <f>SUM(C20:Q20)</f>
        <v>85985.668250319068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5.6794322130682113</v>
      </c>
      <c r="D22" s="808">
        <f t="shared" ref="D22:R22" si="1">SUM(D18:D21)</f>
        <v>0</v>
      </c>
      <c r="E22" s="808">
        <f t="shared" si="1"/>
        <v>11.78483332789467</v>
      </c>
      <c r="F22" s="808">
        <f t="shared" si="1"/>
        <v>348.97901182161178</v>
      </c>
      <c r="G22" s="808">
        <f t="shared" si="1"/>
        <v>0</v>
      </c>
      <c r="H22" s="808">
        <f t="shared" si="1"/>
        <v>66324.538830882433</v>
      </c>
      <c r="I22" s="808">
        <f t="shared" si="1"/>
        <v>17373.567526522133</v>
      </c>
      <c r="J22" s="808">
        <f t="shared" si="1"/>
        <v>0</v>
      </c>
      <c r="K22" s="808">
        <f t="shared" si="1"/>
        <v>0</v>
      </c>
      <c r="L22" s="808">
        <f t="shared" si="1"/>
        <v>0</v>
      </c>
      <c r="M22" s="808">
        <f t="shared" si="1"/>
        <v>0</v>
      </c>
      <c r="N22" s="808">
        <f t="shared" si="1"/>
        <v>3785.4334566740122</v>
      </c>
      <c r="O22" s="808">
        <f t="shared" si="1"/>
        <v>0</v>
      </c>
      <c r="P22" s="808">
        <f t="shared" si="1"/>
        <v>0</v>
      </c>
      <c r="Q22" s="808">
        <f t="shared" si="1"/>
        <v>0</v>
      </c>
      <c r="R22" s="808">
        <f t="shared" si="1"/>
        <v>87849.983091441158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64.809454362509101</v>
      </c>
      <c r="D24" s="690">
        <f>+landbouw!C8</f>
        <v>0</v>
      </c>
      <c r="E24" s="690">
        <f>+landbouw!D8</f>
        <v>39.80081005598398</v>
      </c>
      <c r="F24" s="690">
        <f>+landbouw!E8</f>
        <v>0.81668261652038421</v>
      </c>
      <c r="G24" s="690">
        <f>+landbouw!F8</f>
        <v>223.60885328909939</v>
      </c>
      <c r="H24" s="690">
        <f>+landbouw!G8</f>
        <v>0</v>
      </c>
      <c r="I24" s="690">
        <f>+landbouw!H8</f>
        <v>0</v>
      </c>
      <c r="J24" s="690">
        <f>+landbouw!I8</f>
        <v>0</v>
      </c>
      <c r="K24" s="690">
        <f>+landbouw!J8</f>
        <v>9.7466052082457235</v>
      </c>
      <c r="L24" s="690">
        <f>+landbouw!K8</f>
        <v>0</v>
      </c>
      <c r="M24" s="690">
        <f>+landbouw!L8</f>
        <v>0</v>
      </c>
      <c r="N24" s="690">
        <f>+landbouw!M8</f>
        <v>0</v>
      </c>
      <c r="O24" s="690">
        <f>+landbouw!N8</f>
        <v>0</v>
      </c>
      <c r="P24" s="690">
        <f>+landbouw!O8</f>
        <v>0</v>
      </c>
      <c r="Q24" s="691">
        <f>+landbouw!P8</f>
        <v>0</v>
      </c>
      <c r="R24" s="693">
        <f>SUM(C24:Q24)</f>
        <v>338.78240553235861</v>
      </c>
      <c r="S24" s="67"/>
    </row>
    <row r="25" spans="1:19" s="458" customFormat="1" ht="15" thickBot="1">
      <c r="A25" s="827" t="s">
        <v>872</v>
      </c>
      <c r="B25" s="1004"/>
      <c r="C25" s="1005">
        <f>IF(Onbekend_ele_kWh="---",0,Onbekend_ele_kWh)/1000+IF(REST_rest_ele_kWh="---",0,REST_rest_ele_kWh)/1000</f>
        <v>1958.1545288636</v>
      </c>
      <c r="D25" s="1005"/>
      <c r="E25" s="1005">
        <f>IF(onbekend_gas_kWh="---",0,onbekend_gas_kWh)/1000+IF(REST_rest_gas_kWh="---",0,REST_rest_gas_kWh)/1000</f>
        <v>8067.5110635641304</v>
      </c>
      <c r="F25" s="1005"/>
      <c r="G25" s="1005"/>
      <c r="H25" s="1005"/>
      <c r="I25" s="1005"/>
      <c r="J25" s="1005"/>
      <c r="K25" s="1005"/>
      <c r="L25" s="1005"/>
      <c r="M25" s="1005"/>
      <c r="N25" s="1005"/>
      <c r="O25" s="1005"/>
      <c r="P25" s="1005"/>
      <c r="Q25" s="1006"/>
      <c r="R25" s="693">
        <f>SUM(C25:Q25)</f>
        <v>10025.665592427731</v>
      </c>
      <c r="S25" s="67"/>
    </row>
    <row r="26" spans="1:19" s="458" customFormat="1" ht="15.75" thickBot="1">
      <c r="A26" s="698" t="s">
        <v>873</v>
      </c>
      <c r="B26" s="813"/>
      <c r="C26" s="808">
        <f>SUM(C24:C25)</f>
        <v>2022.9639832261091</v>
      </c>
      <c r="D26" s="808">
        <f t="shared" ref="D26:R26" si="2">SUM(D24:D25)</f>
        <v>0</v>
      </c>
      <c r="E26" s="808">
        <f t="shared" si="2"/>
        <v>8107.3118736201141</v>
      </c>
      <c r="F26" s="808">
        <f t="shared" si="2"/>
        <v>0.81668261652038421</v>
      </c>
      <c r="G26" s="808">
        <f t="shared" si="2"/>
        <v>223.60885328909939</v>
      </c>
      <c r="H26" s="808">
        <f t="shared" si="2"/>
        <v>0</v>
      </c>
      <c r="I26" s="808">
        <f t="shared" si="2"/>
        <v>0</v>
      </c>
      <c r="J26" s="808">
        <f t="shared" si="2"/>
        <v>0</v>
      </c>
      <c r="K26" s="808">
        <f t="shared" si="2"/>
        <v>9.7466052082457235</v>
      </c>
      <c r="L26" s="808">
        <f t="shared" si="2"/>
        <v>0</v>
      </c>
      <c r="M26" s="808">
        <f t="shared" si="2"/>
        <v>0</v>
      </c>
      <c r="N26" s="808">
        <f t="shared" si="2"/>
        <v>0</v>
      </c>
      <c r="O26" s="808">
        <f t="shared" si="2"/>
        <v>0</v>
      </c>
      <c r="P26" s="808">
        <f t="shared" si="2"/>
        <v>0</v>
      </c>
      <c r="Q26" s="808">
        <f t="shared" si="2"/>
        <v>0</v>
      </c>
      <c r="R26" s="808">
        <f t="shared" si="2"/>
        <v>10364.447997960089</v>
      </c>
      <c r="S26" s="67"/>
    </row>
    <row r="27" spans="1:19" s="458" customFormat="1" ht="17.25" thickTop="1" thickBot="1">
      <c r="A27" s="699" t="s">
        <v>116</v>
      </c>
      <c r="B27" s="800"/>
      <c r="C27" s="700">
        <f ca="1">C22+C16+C26</f>
        <v>56945.753586706436</v>
      </c>
      <c r="D27" s="700">
        <f t="shared" ref="D27:R27" ca="1" si="3">D22+D16+D26</f>
        <v>0</v>
      </c>
      <c r="E27" s="700">
        <f t="shared" ca="1" si="3"/>
        <v>189182.4913576862</v>
      </c>
      <c r="F27" s="700">
        <f t="shared" si="3"/>
        <v>1736.1661161736265</v>
      </c>
      <c r="G27" s="700">
        <f t="shared" ca="1" si="3"/>
        <v>17460.492387605613</v>
      </c>
      <c r="H27" s="700">
        <f t="shared" si="3"/>
        <v>66324.538830882433</v>
      </c>
      <c r="I27" s="700">
        <f t="shared" si="3"/>
        <v>17373.567526522133</v>
      </c>
      <c r="J27" s="700">
        <f t="shared" si="3"/>
        <v>0</v>
      </c>
      <c r="K27" s="700">
        <f t="shared" si="3"/>
        <v>10.272208139268425</v>
      </c>
      <c r="L27" s="700">
        <f t="shared" si="3"/>
        <v>0</v>
      </c>
      <c r="M27" s="700">
        <f t="shared" ca="1" si="3"/>
        <v>0</v>
      </c>
      <c r="N27" s="700">
        <f t="shared" si="3"/>
        <v>3785.4334566740122</v>
      </c>
      <c r="O27" s="700">
        <f t="shared" ca="1" si="3"/>
        <v>9589.5256318816046</v>
      </c>
      <c r="P27" s="700">
        <f t="shared" si="3"/>
        <v>76.603333333333339</v>
      </c>
      <c r="Q27" s="700">
        <f t="shared" si="3"/>
        <v>133.46666666666667</v>
      </c>
      <c r="R27" s="700">
        <f t="shared" ca="1" si="3"/>
        <v>362618.31110227131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3922.5266013013429</v>
      </c>
      <c r="D40" s="690">
        <f ca="1">tertiair!C20</f>
        <v>0</v>
      </c>
      <c r="E40" s="690">
        <f ca="1">tertiair!D20</f>
        <v>7044.3320446522021</v>
      </c>
      <c r="F40" s="690">
        <f>tertiair!E20</f>
        <v>31.727758556358349</v>
      </c>
      <c r="G40" s="690">
        <f ca="1">tertiair!F20</f>
        <v>893.80930979204982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11892.395714301954</v>
      </c>
    </row>
    <row r="41" spans="1:18">
      <c r="A41" s="818" t="s">
        <v>225</v>
      </c>
      <c r="B41" s="825"/>
      <c r="C41" s="690">
        <f ca="1">huishoudens!B12</f>
        <v>7622.7674219833052</v>
      </c>
      <c r="D41" s="690">
        <f ca="1">huishoudens!C12</f>
        <v>0</v>
      </c>
      <c r="E41" s="690">
        <f>huishoudens!D12</f>
        <v>29039.928993370562</v>
      </c>
      <c r="F41" s="690">
        <f>huishoudens!E12</f>
        <v>198.32148846641562</v>
      </c>
      <c r="G41" s="690">
        <f>huishoudens!F12</f>
        <v>3455.4672301449682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40316.485133965245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348.22568981149391</v>
      </c>
      <c r="D43" s="690">
        <f ca="1">industrie!C22</f>
        <v>0</v>
      </c>
      <c r="E43" s="690">
        <f>industrie!D22</f>
        <v>490.54468142635068</v>
      </c>
      <c r="F43" s="690">
        <f>industrie!E22</f>
        <v>84.656838711183298</v>
      </c>
      <c r="G43" s="690">
        <f>industrie!F22</f>
        <v>252.97136372549119</v>
      </c>
      <c r="H43" s="690">
        <f>industrie!G22</f>
        <v>0</v>
      </c>
      <c r="I43" s="690">
        <f>industrie!H22</f>
        <v>0</v>
      </c>
      <c r="J43" s="690">
        <f>industrie!I22</f>
        <v>0</v>
      </c>
      <c r="K43" s="690">
        <f>industrie!J22</f>
        <v>0.18606343758203647</v>
      </c>
      <c r="L43" s="690">
        <f>industrie!K22</f>
        <v>0</v>
      </c>
      <c r="M43" s="690">
        <f>industrie!L22</f>
        <v>0</v>
      </c>
      <c r="N43" s="690">
        <f>industrie!M22</f>
        <v>0</v>
      </c>
      <c r="O43" s="690">
        <f>industrie!N22</f>
        <v>0</v>
      </c>
      <c r="P43" s="690">
        <f>industrie!O22</f>
        <v>0</v>
      </c>
      <c r="Q43" s="767">
        <f>industrie!P22</f>
        <v>0</v>
      </c>
      <c r="R43" s="845">
        <f t="shared" ca="1" si="4"/>
        <v>1176.5846371121011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11893.519713096142</v>
      </c>
      <c r="D46" s="725">
        <f t="shared" ref="D46:Q46" ca="1" si="5">SUM(D39:D45)</f>
        <v>0</v>
      </c>
      <c r="E46" s="725">
        <f t="shared" ca="1" si="5"/>
        <v>36574.805719449112</v>
      </c>
      <c r="F46" s="725">
        <f t="shared" si="5"/>
        <v>314.70608573395725</v>
      </c>
      <c r="G46" s="725">
        <f t="shared" ca="1" si="5"/>
        <v>4602.2479036625091</v>
      </c>
      <c r="H46" s="725">
        <f t="shared" si="5"/>
        <v>0</v>
      </c>
      <c r="I46" s="725">
        <f t="shared" si="5"/>
        <v>0</v>
      </c>
      <c r="J46" s="725">
        <f t="shared" si="5"/>
        <v>0</v>
      </c>
      <c r="K46" s="725">
        <f t="shared" si="5"/>
        <v>0.18606343758203647</v>
      </c>
      <c r="L46" s="725">
        <f t="shared" si="5"/>
        <v>0</v>
      </c>
      <c r="M46" s="725">
        <f t="shared" ca="1" si="5"/>
        <v>0</v>
      </c>
      <c r="N46" s="725">
        <f t="shared" si="5"/>
        <v>0</v>
      </c>
      <c r="O46" s="725">
        <f t="shared" ca="1" si="5"/>
        <v>0</v>
      </c>
      <c r="P46" s="725">
        <f t="shared" si="5"/>
        <v>0</v>
      </c>
      <c r="Q46" s="725">
        <f t="shared" si="5"/>
        <v>0</v>
      </c>
      <c r="R46" s="725">
        <f ca="1">SUM(R39:R45)</f>
        <v>53385.465485379304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476.57749567808935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476.57749567808935</v>
      </c>
    </row>
    <row r="50" spans="1:18">
      <c r="A50" s="821" t="s">
        <v>307</v>
      </c>
      <c r="B50" s="831"/>
      <c r="C50" s="696">
        <f ca="1">transport!B18</f>
        <v>1.2300071648828583</v>
      </c>
      <c r="D50" s="696">
        <f>transport!C18</f>
        <v>0</v>
      </c>
      <c r="E50" s="696">
        <f>transport!D18</f>
        <v>2.3805363322347235</v>
      </c>
      <c r="F50" s="696">
        <f>transport!E18</f>
        <v>79.218235683505881</v>
      </c>
      <c r="G50" s="696">
        <f>transport!F18</f>
        <v>0</v>
      </c>
      <c r="H50" s="696">
        <f>transport!G18</f>
        <v>17232.074372167521</v>
      </c>
      <c r="I50" s="696">
        <f>transport!H18</f>
        <v>4326.0183141040106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21640.921465452157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1.2300071648828583</v>
      </c>
      <c r="D52" s="725">
        <f t="shared" ref="D52:Q52" ca="1" si="6">SUM(D48:D51)</f>
        <v>0</v>
      </c>
      <c r="E52" s="725">
        <f t="shared" si="6"/>
        <v>2.3805363322347235</v>
      </c>
      <c r="F52" s="725">
        <f t="shared" si="6"/>
        <v>79.218235683505881</v>
      </c>
      <c r="G52" s="725">
        <f t="shared" si="6"/>
        <v>0</v>
      </c>
      <c r="H52" s="725">
        <f t="shared" si="6"/>
        <v>17708.651867845609</v>
      </c>
      <c r="I52" s="725">
        <f t="shared" si="6"/>
        <v>4326.0183141040106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22117.498961130244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14.035926520015568</v>
      </c>
      <c r="D54" s="696">
        <f ca="1">+landbouw!C12</f>
        <v>0</v>
      </c>
      <c r="E54" s="696">
        <f>+landbouw!D12</f>
        <v>8.0397636313087641</v>
      </c>
      <c r="F54" s="696">
        <f>+landbouw!E12</f>
        <v>0.18538695395012722</v>
      </c>
      <c r="G54" s="696">
        <f>+landbouw!F12</f>
        <v>59.703563828189537</v>
      </c>
      <c r="H54" s="696">
        <f>+landbouw!G12</f>
        <v>0</v>
      </c>
      <c r="I54" s="696">
        <f>+landbouw!H12</f>
        <v>0</v>
      </c>
      <c r="J54" s="696">
        <f>+landbouw!I12</f>
        <v>0</v>
      </c>
      <c r="K54" s="696">
        <f>+landbouw!J12</f>
        <v>3.450298243718986</v>
      </c>
      <c r="L54" s="696">
        <f>+landbouw!K12</f>
        <v>0</v>
      </c>
      <c r="M54" s="696">
        <f>+landbouw!L12</f>
        <v>0</v>
      </c>
      <c r="N54" s="696">
        <f>+landbouw!M12</f>
        <v>0</v>
      </c>
      <c r="O54" s="696">
        <f>+landbouw!N12</f>
        <v>0</v>
      </c>
      <c r="P54" s="696">
        <f>+landbouw!O12</f>
        <v>0</v>
      </c>
      <c r="Q54" s="697">
        <f>+landbouw!P12</f>
        <v>0</v>
      </c>
      <c r="R54" s="724">
        <f ca="1">SUM(C54:Q54)</f>
        <v>85.414939177182987</v>
      </c>
    </row>
    <row r="55" spans="1:18" ht="15" thickBot="1">
      <c r="A55" s="821" t="s">
        <v>872</v>
      </c>
      <c r="B55" s="831"/>
      <c r="C55" s="696">
        <f ca="1">C25*'EF ele_warmte'!B12</f>
        <v>424.08184658108161</v>
      </c>
      <c r="D55" s="696"/>
      <c r="E55" s="696">
        <f>E25*EF_CO2_aardgas</f>
        <v>1629.6372348399545</v>
      </c>
      <c r="F55" s="696"/>
      <c r="G55" s="696"/>
      <c r="H55" s="696"/>
      <c r="I55" s="696"/>
      <c r="J55" s="696"/>
      <c r="K55" s="696"/>
      <c r="L55" s="696"/>
      <c r="M55" s="696"/>
      <c r="N55" s="696"/>
      <c r="O55" s="696"/>
      <c r="P55" s="696"/>
      <c r="Q55" s="697"/>
      <c r="R55" s="724">
        <f ca="1">SUM(C55:Q55)</f>
        <v>2053.7190814210362</v>
      </c>
    </row>
    <row r="56" spans="1:18" ht="15.75" thickBot="1">
      <c r="A56" s="819" t="s">
        <v>873</v>
      </c>
      <c r="B56" s="832"/>
      <c r="C56" s="725">
        <f ca="1">SUM(C54:C55)</f>
        <v>438.11777310109716</v>
      </c>
      <c r="D56" s="725">
        <f t="shared" ref="D56:Q56" ca="1" si="7">SUM(D54:D55)</f>
        <v>0</v>
      </c>
      <c r="E56" s="725">
        <f t="shared" si="7"/>
        <v>1637.6769984712632</v>
      </c>
      <c r="F56" s="725">
        <f t="shared" si="7"/>
        <v>0.18538695395012722</v>
      </c>
      <c r="G56" s="725">
        <f t="shared" si="7"/>
        <v>59.703563828189537</v>
      </c>
      <c r="H56" s="725">
        <f t="shared" si="7"/>
        <v>0</v>
      </c>
      <c r="I56" s="725">
        <f t="shared" si="7"/>
        <v>0</v>
      </c>
      <c r="J56" s="725">
        <f t="shared" si="7"/>
        <v>0</v>
      </c>
      <c r="K56" s="725">
        <f t="shared" si="7"/>
        <v>3.450298243718986</v>
      </c>
      <c r="L56" s="725">
        <f t="shared" si="7"/>
        <v>0</v>
      </c>
      <c r="M56" s="725">
        <f t="shared" si="7"/>
        <v>0</v>
      </c>
      <c r="N56" s="725">
        <f t="shared" si="7"/>
        <v>0</v>
      </c>
      <c r="O56" s="725">
        <f t="shared" si="7"/>
        <v>0</v>
      </c>
      <c r="P56" s="725">
        <f t="shared" si="7"/>
        <v>0</v>
      </c>
      <c r="Q56" s="726">
        <f t="shared" si="7"/>
        <v>0</v>
      </c>
      <c r="R56" s="727">
        <f ca="1">SUM(R54:R55)</f>
        <v>2139.1340205982192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12332.867493362122</v>
      </c>
      <c r="D61" s="733">
        <f t="shared" ref="D61:Q61" ca="1" si="8">D46+D52+D56</f>
        <v>0</v>
      </c>
      <c r="E61" s="733">
        <f t="shared" ca="1" si="8"/>
        <v>38214.86325425261</v>
      </c>
      <c r="F61" s="733">
        <f t="shared" si="8"/>
        <v>394.10970837141326</v>
      </c>
      <c r="G61" s="733">
        <f t="shared" ca="1" si="8"/>
        <v>4661.9514674906986</v>
      </c>
      <c r="H61" s="733">
        <f t="shared" si="8"/>
        <v>17708.651867845609</v>
      </c>
      <c r="I61" s="733">
        <f t="shared" si="8"/>
        <v>4326.0183141040106</v>
      </c>
      <c r="J61" s="733">
        <f t="shared" si="8"/>
        <v>0</v>
      </c>
      <c r="K61" s="733">
        <f t="shared" si="8"/>
        <v>3.6363616813010227</v>
      </c>
      <c r="L61" s="733">
        <f t="shared" si="8"/>
        <v>0</v>
      </c>
      <c r="M61" s="733">
        <f t="shared" ca="1" si="8"/>
        <v>0</v>
      </c>
      <c r="N61" s="733">
        <f t="shared" si="8"/>
        <v>0</v>
      </c>
      <c r="O61" s="733">
        <f t="shared" ca="1" si="8"/>
        <v>0</v>
      </c>
      <c r="P61" s="733">
        <f t="shared" si="8"/>
        <v>0</v>
      </c>
      <c r="Q61" s="733">
        <f t="shared" si="8"/>
        <v>0</v>
      </c>
      <c r="R61" s="733">
        <f ca="1">R46+R52+R56</f>
        <v>77642.09846710776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0.21657220629425719</v>
      </c>
      <c r="D63" s="776">
        <f t="shared" ca="1" si="9"/>
        <v>0</v>
      </c>
      <c r="E63" s="1011">
        <f t="shared" ca="1" si="9"/>
        <v>0.20199999999999999</v>
      </c>
      <c r="F63" s="776">
        <f t="shared" si="9"/>
        <v>0.22700000000000004</v>
      </c>
      <c r="G63" s="776">
        <f t="shared" ca="1" si="9"/>
        <v>0.26700000000000002</v>
      </c>
      <c r="H63" s="776">
        <f t="shared" si="9"/>
        <v>0.26699999999999996</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1140.9232999999999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1140.9232999999999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35197.348507528397</v>
      </c>
      <c r="C4" s="462">
        <f>huishoudens!C8</f>
        <v>0</v>
      </c>
      <c r="D4" s="462">
        <f>huishoudens!D8</f>
        <v>143762.02471965624</v>
      </c>
      <c r="E4" s="462">
        <f>huishoudens!E8</f>
        <v>873.66294478597183</v>
      </c>
      <c r="F4" s="462">
        <f>huishoudens!F8</f>
        <v>12941.824832003625</v>
      </c>
      <c r="G4" s="462">
        <f>huishoudens!G8</f>
        <v>0</v>
      </c>
      <c r="H4" s="462">
        <f>huishoudens!H8</f>
        <v>0</v>
      </c>
      <c r="I4" s="462">
        <f>huishoudens!I8</f>
        <v>0</v>
      </c>
      <c r="J4" s="462">
        <f>huishoudens!J8</f>
        <v>0</v>
      </c>
      <c r="K4" s="462">
        <f>huishoudens!K8</f>
        <v>0</v>
      </c>
      <c r="L4" s="462">
        <f>huishoudens!L8</f>
        <v>0</v>
      </c>
      <c r="M4" s="462">
        <f>huishoudens!M8</f>
        <v>0</v>
      </c>
      <c r="N4" s="462">
        <f>huishoudens!N8</f>
        <v>7642.3641666071426</v>
      </c>
      <c r="O4" s="462">
        <f>huishoudens!O8</f>
        <v>75.040000000000006</v>
      </c>
      <c r="P4" s="463">
        <f>huishoudens!P8</f>
        <v>133.46666666666667</v>
      </c>
      <c r="Q4" s="464">
        <f>SUM(B4:P4)</f>
        <v>200625.73183724805</v>
      </c>
    </row>
    <row r="5" spans="1:17">
      <c r="A5" s="461" t="s">
        <v>156</v>
      </c>
      <c r="B5" s="462">
        <f ca="1">tertiair!B16</f>
        <v>16917.629176142669</v>
      </c>
      <c r="C5" s="462">
        <f ca="1">tertiair!C16</f>
        <v>0</v>
      </c>
      <c r="D5" s="462">
        <f ca="1">tertiair!D16</f>
        <v>34872.93091411981</v>
      </c>
      <c r="E5" s="462">
        <f>tertiair!E16</f>
        <v>139.76986148175484</v>
      </c>
      <c r="F5" s="462">
        <f ca="1">tertiair!F16</f>
        <v>3347.6004112061787</v>
      </c>
      <c r="G5" s="462">
        <f>tertiair!G16</f>
        <v>0</v>
      </c>
      <c r="H5" s="462">
        <f>tertiair!H16</f>
        <v>0</v>
      </c>
      <c r="I5" s="462">
        <f>tertiair!I16</f>
        <v>0</v>
      </c>
      <c r="J5" s="462">
        <f>tertiair!J16</f>
        <v>0</v>
      </c>
      <c r="K5" s="462">
        <f>tertiair!K16</f>
        <v>0</v>
      </c>
      <c r="L5" s="462">
        <f ca="1">tertiair!L16</f>
        <v>0</v>
      </c>
      <c r="M5" s="462">
        <f>tertiair!M16</f>
        <v>0</v>
      </c>
      <c r="N5" s="462">
        <f ca="1">tertiair!N16</f>
        <v>1410.0656060716062</v>
      </c>
      <c r="O5" s="462">
        <f>tertiair!O16</f>
        <v>1.5633333333333335</v>
      </c>
      <c r="P5" s="463">
        <f>tertiair!P16</f>
        <v>0</v>
      </c>
      <c r="Q5" s="461">
        <f t="shared" ref="Q5:Q14" ca="1" si="0">SUM(B5:P5)</f>
        <v>56689.559302355352</v>
      </c>
    </row>
    <row r="6" spans="1:17">
      <c r="A6" s="461" t="s">
        <v>194</v>
      </c>
      <c r="B6" s="462">
        <f>'openbare verlichting'!B8</f>
        <v>1194.2360000000001</v>
      </c>
      <c r="C6" s="462"/>
      <c r="D6" s="462"/>
      <c r="E6" s="462"/>
      <c r="F6" s="462"/>
      <c r="G6" s="462"/>
      <c r="H6" s="462"/>
      <c r="I6" s="462"/>
      <c r="J6" s="462"/>
      <c r="K6" s="462"/>
      <c r="L6" s="462"/>
      <c r="M6" s="462"/>
      <c r="N6" s="462"/>
      <c r="O6" s="462"/>
      <c r="P6" s="463"/>
      <c r="Q6" s="461">
        <f t="shared" si="0"/>
        <v>1194.2360000000001</v>
      </c>
    </row>
    <row r="7" spans="1:17">
      <c r="A7" s="461" t="s">
        <v>112</v>
      </c>
      <c r="B7" s="462">
        <f>landbouw!B8</f>
        <v>64.809454362509101</v>
      </c>
      <c r="C7" s="462">
        <f>landbouw!C8</f>
        <v>0</v>
      </c>
      <c r="D7" s="462">
        <f>landbouw!D8</f>
        <v>39.80081005598398</v>
      </c>
      <c r="E7" s="462">
        <f>landbouw!E8</f>
        <v>0.81668261652038421</v>
      </c>
      <c r="F7" s="462">
        <f>landbouw!F8</f>
        <v>223.60885328909939</v>
      </c>
      <c r="G7" s="462">
        <f>landbouw!G8</f>
        <v>0</v>
      </c>
      <c r="H7" s="462">
        <f>landbouw!H8</f>
        <v>0</v>
      </c>
      <c r="I7" s="462">
        <f>landbouw!I8</f>
        <v>0</v>
      </c>
      <c r="J7" s="462">
        <f>landbouw!J8</f>
        <v>9.7466052082457235</v>
      </c>
      <c r="K7" s="462">
        <f>landbouw!K8</f>
        <v>0</v>
      </c>
      <c r="L7" s="462">
        <f>landbouw!L8</f>
        <v>0</v>
      </c>
      <c r="M7" s="462">
        <f>landbouw!M8</f>
        <v>0</v>
      </c>
      <c r="N7" s="462">
        <f>landbouw!N8</f>
        <v>0</v>
      </c>
      <c r="O7" s="462">
        <f>landbouw!O8</f>
        <v>0</v>
      </c>
      <c r="P7" s="463">
        <f>landbouw!P8</f>
        <v>0</v>
      </c>
      <c r="Q7" s="461">
        <f t="shared" si="0"/>
        <v>338.78240553235861</v>
      </c>
    </row>
    <row r="8" spans="1:17">
      <c r="A8" s="461" t="s">
        <v>657</v>
      </c>
      <c r="B8" s="462">
        <f>industrie!B18</f>
        <v>1607.8964875961913</v>
      </c>
      <c r="C8" s="462">
        <f>industrie!C18</f>
        <v>0</v>
      </c>
      <c r="D8" s="462">
        <f>industrie!D18</f>
        <v>2428.439016962132</v>
      </c>
      <c r="E8" s="462">
        <f>industrie!E18</f>
        <v>372.93761546776784</v>
      </c>
      <c r="F8" s="462">
        <f>industrie!F18</f>
        <v>947.45829110670854</v>
      </c>
      <c r="G8" s="462">
        <f>industrie!G18</f>
        <v>0</v>
      </c>
      <c r="H8" s="462">
        <f>industrie!H18</f>
        <v>0</v>
      </c>
      <c r="I8" s="462">
        <f>industrie!I18</f>
        <v>0</v>
      </c>
      <c r="J8" s="462">
        <f>industrie!J18</f>
        <v>0.52560293102270195</v>
      </c>
      <c r="K8" s="462">
        <f>industrie!K18</f>
        <v>0</v>
      </c>
      <c r="L8" s="462">
        <f>industrie!L18</f>
        <v>0</v>
      </c>
      <c r="M8" s="462">
        <f>industrie!M18</f>
        <v>0</v>
      </c>
      <c r="N8" s="462">
        <f>industrie!N18</f>
        <v>537.0958592028569</v>
      </c>
      <c r="O8" s="462">
        <f>industrie!O18</f>
        <v>0</v>
      </c>
      <c r="P8" s="463">
        <f>industrie!P18</f>
        <v>0</v>
      </c>
      <c r="Q8" s="461">
        <f t="shared" si="0"/>
        <v>5894.3528732666782</v>
      </c>
    </row>
    <row r="9" spans="1:17" s="467" customFormat="1">
      <c r="A9" s="465" t="s">
        <v>574</v>
      </c>
      <c r="B9" s="466">
        <f>transport!B14</f>
        <v>5.6794322130682113</v>
      </c>
      <c r="C9" s="466">
        <f>transport!C14</f>
        <v>0</v>
      </c>
      <c r="D9" s="466">
        <f>transport!D14</f>
        <v>11.78483332789467</v>
      </c>
      <c r="E9" s="466">
        <f>transport!E14</f>
        <v>348.97901182161178</v>
      </c>
      <c r="F9" s="466">
        <f>transport!F14</f>
        <v>0</v>
      </c>
      <c r="G9" s="466">
        <f>transport!G14</f>
        <v>64539.604390140521</v>
      </c>
      <c r="H9" s="466">
        <f>transport!H14</f>
        <v>17373.567526522133</v>
      </c>
      <c r="I9" s="466">
        <f>transport!I14</f>
        <v>0</v>
      </c>
      <c r="J9" s="466">
        <f>transport!J14</f>
        <v>0</v>
      </c>
      <c r="K9" s="466">
        <f>transport!K14</f>
        <v>0</v>
      </c>
      <c r="L9" s="466">
        <f>transport!L14</f>
        <v>0</v>
      </c>
      <c r="M9" s="466">
        <f>transport!M14</f>
        <v>3706.0530562938366</v>
      </c>
      <c r="N9" s="466">
        <f>transport!N14</f>
        <v>0</v>
      </c>
      <c r="O9" s="466">
        <f>transport!O14</f>
        <v>0</v>
      </c>
      <c r="P9" s="466">
        <f>transport!P14</f>
        <v>0</v>
      </c>
      <c r="Q9" s="465">
        <f>SUM(B9:P9)</f>
        <v>85985.668250319068</v>
      </c>
    </row>
    <row r="10" spans="1:17">
      <c r="A10" s="461" t="s">
        <v>564</v>
      </c>
      <c r="B10" s="462">
        <f>transport!B54</f>
        <v>0</v>
      </c>
      <c r="C10" s="462">
        <f>transport!C54</f>
        <v>0</v>
      </c>
      <c r="D10" s="462">
        <f>transport!D54</f>
        <v>0</v>
      </c>
      <c r="E10" s="462">
        <f>transport!E54</f>
        <v>0</v>
      </c>
      <c r="F10" s="462">
        <f>transport!F54</f>
        <v>0</v>
      </c>
      <c r="G10" s="462">
        <f>transport!G54</f>
        <v>1784.9344407419076</v>
      </c>
      <c r="H10" s="462">
        <f>transport!H54</f>
        <v>0</v>
      </c>
      <c r="I10" s="462">
        <f>transport!I54</f>
        <v>0</v>
      </c>
      <c r="J10" s="462">
        <f>transport!J54</f>
        <v>0</v>
      </c>
      <c r="K10" s="462">
        <f>transport!K54</f>
        <v>0</v>
      </c>
      <c r="L10" s="462">
        <f>transport!L54</f>
        <v>0</v>
      </c>
      <c r="M10" s="462">
        <f>transport!M54</f>
        <v>79.380400380175573</v>
      </c>
      <c r="N10" s="462">
        <f>transport!N54</f>
        <v>0</v>
      </c>
      <c r="O10" s="462">
        <f>transport!O54</f>
        <v>0</v>
      </c>
      <c r="P10" s="463">
        <f>transport!P54</f>
        <v>0</v>
      </c>
      <c r="Q10" s="461">
        <f t="shared" si="0"/>
        <v>1864.3148411220832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1958.1545288636</v>
      </c>
      <c r="C14" s="469"/>
      <c r="D14" s="469">
        <f>'SEAP template'!E25</f>
        <v>8067.5110635641304</v>
      </c>
      <c r="E14" s="469"/>
      <c r="F14" s="469"/>
      <c r="G14" s="469"/>
      <c r="H14" s="469"/>
      <c r="I14" s="469"/>
      <c r="J14" s="469"/>
      <c r="K14" s="469"/>
      <c r="L14" s="469"/>
      <c r="M14" s="469"/>
      <c r="N14" s="469"/>
      <c r="O14" s="469"/>
      <c r="P14" s="470"/>
      <c r="Q14" s="461">
        <f t="shared" si="0"/>
        <v>10025.665592427731</v>
      </c>
    </row>
    <row r="15" spans="1:17" s="474" customFormat="1">
      <c r="A15" s="471" t="s">
        <v>568</v>
      </c>
      <c r="B15" s="472">
        <f ca="1">SUM(B4:B14)</f>
        <v>56945.753586706429</v>
      </c>
      <c r="C15" s="472">
        <f t="shared" ref="C15:Q15" ca="1" si="1">SUM(C4:C14)</f>
        <v>0</v>
      </c>
      <c r="D15" s="472">
        <f t="shared" ca="1" si="1"/>
        <v>189182.4913576862</v>
      </c>
      <c r="E15" s="472">
        <f t="shared" si="1"/>
        <v>1736.1661161736267</v>
      </c>
      <c r="F15" s="472">
        <f t="shared" ca="1" si="1"/>
        <v>17460.492387605613</v>
      </c>
      <c r="G15" s="472">
        <f t="shared" si="1"/>
        <v>66324.538830882433</v>
      </c>
      <c r="H15" s="472">
        <f t="shared" si="1"/>
        <v>17373.567526522133</v>
      </c>
      <c r="I15" s="472">
        <f t="shared" si="1"/>
        <v>0</v>
      </c>
      <c r="J15" s="472">
        <f t="shared" si="1"/>
        <v>10.272208139268425</v>
      </c>
      <c r="K15" s="472">
        <f t="shared" si="1"/>
        <v>0</v>
      </c>
      <c r="L15" s="472">
        <f t="shared" ca="1" si="1"/>
        <v>0</v>
      </c>
      <c r="M15" s="472">
        <f t="shared" si="1"/>
        <v>3785.4334566740122</v>
      </c>
      <c r="N15" s="472">
        <f t="shared" ca="1" si="1"/>
        <v>9589.5256318816046</v>
      </c>
      <c r="O15" s="472">
        <f t="shared" si="1"/>
        <v>76.603333333333339</v>
      </c>
      <c r="P15" s="472">
        <f t="shared" si="1"/>
        <v>133.46666666666667</v>
      </c>
      <c r="Q15" s="472">
        <f t="shared" ca="1" si="1"/>
        <v>362618.31110227137</v>
      </c>
    </row>
    <row r="17" spans="1:17">
      <c r="A17" s="475" t="s">
        <v>569</v>
      </c>
      <c r="B17" s="781">
        <f ca="1">huishoudens!B10</f>
        <v>0.21657220629425719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7622.7674219833052</v>
      </c>
      <c r="C22" s="462">
        <f t="shared" ref="C22:C32" ca="1" si="3">C4*$C$17</f>
        <v>0</v>
      </c>
      <c r="D22" s="462">
        <f t="shared" ref="D22:D32" si="4">D4*$D$17</f>
        <v>29039.928993370562</v>
      </c>
      <c r="E22" s="462">
        <f t="shared" ref="E22:E32" si="5">E4*$E$17</f>
        <v>198.32148846641562</v>
      </c>
      <c r="F22" s="462">
        <f t="shared" ref="F22:F32" si="6">F4*$F$17</f>
        <v>3455.4672301449682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40316.485133965245</v>
      </c>
    </row>
    <row r="23" spans="1:17">
      <c r="A23" s="461" t="s">
        <v>156</v>
      </c>
      <c r="B23" s="462">
        <f t="shared" ca="1" si="2"/>
        <v>3663.8882759453145</v>
      </c>
      <c r="C23" s="462">
        <f t="shared" ca="1" si="3"/>
        <v>0</v>
      </c>
      <c r="D23" s="462">
        <f t="shared" ca="1" si="4"/>
        <v>7044.3320446522021</v>
      </c>
      <c r="E23" s="462">
        <f t="shared" si="5"/>
        <v>31.727758556358349</v>
      </c>
      <c r="F23" s="462">
        <f t="shared" ca="1" si="6"/>
        <v>893.80930979204982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11633.757388945925</v>
      </c>
    </row>
    <row r="24" spans="1:17">
      <c r="A24" s="461" t="s">
        <v>194</v>
      </c>
      <c r="B24" s="462">
        <f t="shared" ca="1" si="2"/>
        <v>258.63832535602853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258.63832535602853</v>
      </c>
    </row>
    <row r="25" spans="1:17">
      <c r="A25" s="461" t="s">
        <v>112</v>
      </c>
      <c r="B25" s="462">
        <f t="shared" ca="1" si="2"/>
        <v>14.035926520015568</v>
      </c>
      <c r="C25" s="462">
        <f t="shared" ca="1" si="3"/>
        <v>0</v>
      </c>
      <c r="D25" s="462">
        <f t="shared" si="4"/>
        <v>8.0397636313087641</v>
      </c>
      <c r="E25" s="462">
        <f t="shared" si="5"/>
        <v>0.18538695395012722</v>
      </c>
      <c r="F25" s="462">
        <f t="shared" si="6"/>
        <v>59.703563828189537</v>
      </c>
      <c r="G25" s="462">
        <f t="shared" si="7"/>
        <v>0</v>
      </c>
      <c r="H25" s="462">
        <f t="shared" si="8"/>
        <v>0</v>
      </c>
      <c r="I25" s="462">
        <f t="shared" si="9"/>
        <v>0</v>
      </c>
      <c r="J25" s="462">
        <f t="shared" si="10"/>
        <v>3.450298243718986</v>
      </c>
      <c r="K25" s="462">
        <f t="shared" si="11"/>
        <v>0</v>
      </c>
      <c r="L25" s="462">
        <f t="shared" si="12"/>
        <v>0</v>
      </c>
      <c r="M25" s="462">
        <f t="shared" si="13"/>
        <v>0</v>
      </c>
      <c r="N25" s="462">
        <f t="shared" si="14"/>
        <v>0</v>
      </c>
      <c r="O25" s="462">
        <f t="shared" si="15"/>
        <v>0</v>
      </c>
      <c r="P25" s="463">
        <f t="shared" si="16"/>
        <v>0</v>
      </c>
      <c r="Q25" s="461">
        <f t="shared" ca="1" si="17"/>
        <v>85.414939177182987</v>
      </c>
    </row>
    <row r="26" spans="1:17">
      <c r="A26" s="461" t="s">
        <v>657</v>
      </c>
      <c r="B26" s="462">
        <f t="shared" ca="1" si="2"/>
        <v>348.22568981149391</v>
      </c>
      <c r="C26" s="462">
        <f t="shared" ca="1" si="3"/>
        <v>0</v>
      </c>
      <c r="D26" s="462">
        <f t="shared" si="4"/>
        <v>490.54468142635068</v>
      </c>
      <c r="E26" s="462">
        <f t="shared" si="5"/>
        <v>84.656838711183298</v>
      </c>
      <c r="F26" s="462">
        <f t="shared" si="6"/>
        <v>252.97136372549119</v>
      </c>
      <c r="G26" s="462">
        <f t="shared" si="7"/>
        <v>0</v>
      </c>
      <c r="H26" s="462">
        <f t="shared" si="8"/>
        <v>0</v>
      </c>
      <c r="I26" s="462">
        <f t="shared" si="9"/>
        <v>0</v>
      </c>
      <c r="J26" s="462">
        <f t="shared" si="10"/>
        <v>0.18606343758203647</v>
      </c>
      <c r="K26" s="462">
        <f t="shared" si="11"/>
        <v>0</v>
      </c>
      <c r="L26" s="462">
        <f t="shared" si="12"/>
        <v>0</v>
      </c>
      <c r="M26" s="462">
        <f t="shared" si="13"/>
        <v>0</v>
      </c>
      <c r="N26" s="462">
        <f t="shared" si="14"/>
        <v>0</v>
      </c>
      <c r="O26" s="462">
        <f t="shared" si="15"/>
        <v>0</v>
      </c>
      <c r="P26" s="463">
        <f t="shared" si="16"/>
        <v>0</v>
      </c>
      <c r="Q26" s="461">
        <f t="shared" ca="1" si="17"/>
        <v>1176.5846371121011</v>
      </c>
    </row>
    <row r="27" spans="1:17" s="467" customFormat="1">
      <c r="A27" s="465" t="s">
        <v>574</v>
      </c>
      <c r="B27" s="775">
        <f t="shared" ca="1" si="2"/>
        <v>1.2300071648828583</v>
      </c>
      <c r="C27" s="466">
        <f t="shared" ca="1" si="3"/>
        <v>0</v>
      </c>
      <c r="D27" s="466">
        <f t="shared" si="4"/>
        <v>2.3805363322347235</v>
      </c>
      <c r="E27" s="466">
        <f t="shared" si="5"/>
        <v>79.218235683505881</v>
      </c>
      <c r="F27" s="466">
        <f t="shared" si="6"/>
        <v>0</v>
      </c>
      <c r="G27" s="466">
        <f t="shared" si="7"/>
        <v>17232.074372167521</v>
      </c>
      <c r="H27" s="466">
        <f t="shared" si="8"/>
        <v>4326.0183141040106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21640.921465452157</v>
      </c>
    </row>
    <row r="28" spans="1:17">
      <c r="A28" s="461" t="s">
        <v>564</v>
      </c>
      <c r="B28" s="462">
        <f t="shared" ca="1" si="2"/>
        <v>0</v>
      </c>
      <c r="C28" s="462">
        <f t="shared" ca="1" si="3"/>
        <v>0</v>
      </c>
      <c r="D28" s="462">
        <f t="shared" si="4"/>
        <v>0</v>
      </c>
      <c r="E28" s="462">
        <f t="shared" si="5"/>
        <v>0</v>
      </c>
      <c r="F28" s="462">
        <f t="shared" si="6"/>
        <v>0</v>
      </c>
      <c r="G28" s="462">
        <f t="shared" si="7"/>
        <v>476.57749567808935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476.57749567808935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424.08184658108161</v>
      </c>
      <c r="C32" s="462">
        <f t="shared" ca="1" si="3"/>
        <v>0</v>
      </c>
      <c r="D32" s="462">
        <f t="shared" si="4"/>
        <v>1629.6372348399545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2053.7190814210362</v>
      </c>
    </row>
    <row r="33" spans="1:17" s="474" customFormat="1">
      <c r="A33" s="471" t="s">
        <v>568</v>
      </c>
      <c r="B33" s="472">
        <f ca="1">SUM(B22:B32)</f>
        <v>12332.867493362121</v>
      </c>
      <c r="C33" s="472">
        <f t="shared" ref="C33:Q33" ca="1" si="18">SUM(C22:C32)</f>
        <v>0</v>
      </c>
      <c r="D33" s="472">
        <f t="shared" ca="1" si="18"/>
        <v>38214.863254252603</v>
      </c>
      <c r="E33" s="472">
        <f t="shared" si="18"/>
        <v>394.10970837141326</v>
      </c>
      <c r="F33" s="472">
        <f t="shared" ca="1" si="18"/>
        <v>4661.9514674906986</v>
      </c>
      <c r="G33" s="472">
        <f t="shared" si="18"/>
        <v>17708.651867845609</v>
      </c>
      <c r="H33" s="472">
        <f t="shared" si="18"/>
        <v>4326.0183141040106</v>
      </c>
      <c r="I33" s="472">
        <f t="shared" si="18"/>
        <v>0</v>
      </c>
      <c r="J33" s="472">
        <f t="shared" si="18"/>
        <v>3.6363616813010227</v>
      </c>
      <c r="K33" s="472">
        <f t="shared" si="18"/>
        <v>0</v>
      </c>
      <c r="L33" s="472">
        <f t="shared" ca="1" si="18"/>
        <v>0</v>
      </c>
      <c r="M33" s="472">
        <f t="shared" si="18"/>
        <v>0</v>
      </c>
      <c r="N33" s="472">
        <f t="shared" ca="1" si="18"/>
        <v>0</v>
      </c>
      <c r="O33" s="472">
        <f t="shared" si="18"/>
        <v>0</v>
      </c>
      <c r="P33" s="472">
        <f t="shared" si="18"/>
        <v>0</v>
      </c>
      <c r="Q33" s="472">
        <f t="shared" ca="1" si="18"/>
        <v>77642.098467107775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1140.9232999999999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1140.9232999999999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0.21657220629425719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0.21657220629425719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0.21657220629425719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0.21657220629425719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6828</v>
      </c>
      <c r="C9" s="338">
        <v>7165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414</v>
      </c>
    </row>
    <row r="15" spans="1:6">
      <c r="A15" s="1295" t="s">
        <v>184</v>
      </c>
      <c r="B15" s="335">
        <v>2</v>
      </c>
    </row>
    <row r="16" spans="1:6">
      <c r="A16" s="1295" t="s">
        <v>6</v>
      </c>
      <c r="B16" s="335">
        <v>75</v>
      </c>
    </row>
    <row r="17" spans="1:6">
      <c r="A17" s="1295" t="s">
        <v>7</v>
      </c>
      <c r="B17" s="335">
        <v>156</v>
      </c>
    </row>
    <row r="18" spans="1:6">
      <c r="A18" s="1295" t="s">
        <v>8</v>
      </c>
      <c r="B18" s="335">
        <v>161</v>
      </c>
    </row>
    <row r="19" spans="1:6">
      <c r="A19" s="1295" t="s">
        <v>9</v>
      </c>
      <c r="B19" s="335">
        <v>131</v>
      </c>
    </row>
    <row r="20" spans="1:6">
      <c r="A20" s="1295" t="s">
        <v>10</v>
      </c>
      <c r="B20" s="335">
        <v>162</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20</v>
      </c>
    </row>
    <row r="29" spans="1:6">
      <c r="A29" s="1296" t="s">
        <v>909</v>
      </c>
      <c r="B29" s="1296">
        <v>169</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13067.260852785999</v>
      </c>
    </row>
    <row r="37" spans="1:6">
      <c r="A37" s="1295" t="s">
        <v>25</v>
      </c>
      <c r="B37" s="1295" t="s">
        <v>28</v>
      </c>
      <c r="C37" s="335">
        <v>0</v>
      </c>
      <c r="D37" s="335">
        <v>0</v>
      </c>
      <c r="E37" s="335">
        <v>0</v>
      </c>
      <c r="F37" s="335">
        <v>0</v>
      </c>
    </row>
    <row r="38" spans="1:6">
      <c r="A38" s="1295" t="s">
        <v>25</v>
      </c>
      <c r="B38" s="1295" t="s">
        <v>29</v>
      </c>
      <c r="C38" s="335">
        <v>0</v>
      </c>
      <c r="D38" s="335">
        <v>0</v>
      </c>
      <c r="E38" s="335">
        <v>2</v>
      </c>
      <c r="F38" s="335">
        <v>6760</v>
      </c>
    </row>
    <row r="39" spans="1:6">
      <c r="A39" s="1295" t="s">
        <v>30</v>
      </c>
      <c r="B39" s="1295" t="s">
        <v>31</v>
      </c>
      <c r="C39" s="335">
        <v>5275</v>
      </c>
      <c r="D39" s="335">
        <v>159381402.12822199</v>
      </c>
      <c r="E39" s="335">
        <v>6736</v>
      </c>
      <c r="F39" s="335">
        <v>34301978.007528402</v>
      </c>
    </row>
    <row r="40" spans="1:6">
      <c r="A40" s="1295" t="s">
        <v>30</v>
      </c>
      <c r="B40" s="1295" t="s">
        <v>29</v>
      </c>
      <c r="C40" s="335">
        <v>0</v>
      </c>
      <c r="D40" s="335">
        <v>0</v>
      </c>
      <c r="E40" s="335">
        <v>0</v>
      </c>
      <c r="F40" s="335">
        <v>0</v>
      </c>
    </row>
    <row r="41" spans="1:6">
      <c r="A41" s="1295" t="s">
        <v>32</v>
      </c>
      <c r="B41" s="1295" t="s">
        <v>33</v>
      </c>
      <c r="C41" s="335">
        <v>53</v>
      </c>
      <c r="D41" s="335">
        <v>1882887.4735874401</v>
      </c>
      <c r="E41" s="335">
        <v>93</v>
      </c>
      <c r="F41" s="335">
        <v>1329719.7427936201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44327.833856995901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142902.06706120199</v>
      </c>
      <c r="E47" s="335">
        <v>4</v>
      </c>
      <c r="F47" s="335">
        <v>28780.617909609198</v>
      </c>
    </row>
    <row r="48" spans="1:6">
      <c r="A48" s="1295" t="s">
        <v>32</v>
      </c>
      <c r="B48" s="1295" t="s">
        <v>29</v>
      </c>
      <c r="C48" s="335">
        <v>24</v>
      </c>
      <c r="D48" s="335">
        <v>666493.18325616</v>
      </c>
      <c r="E48" s="335">
        <v>23</v>
      </c>
      <c r="F48" s="335">
        <v>205068.29303596599</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0</v>
      </c>
      <c r="F51" s="335">
        <v>0</v>
      </c>
    </row>
    <row r="52" spans="1:6">
      <c r="A52" s="1295" t="s">
        <v>42</v>
      </c>
      <c r="B52" s="1295" t="s">
        <v>29</v>
      </c>
      <c r="C52" s="335">
        <v>2</v>
      </c>
      <c r="D52" s="335">
        <v>44125.066580913503</v>
      </c>
      <c r="E52" s="335">
        <v>4</v>
      </c>
      <c r="F52" s="335">
        <v>64809.454362509103</v>
      </c>
    </row>
    <row r="53" spans="1:6">
      <c r="A53" s="1295" t="s">
        <v>44</v>
      </c>
      <c r="B53" s="1295" t="s">
        <v>45</v>
      </c>
      <c r="C53" s="335">
        <v>173</v>
      </c>
      <c r="D53" s="335">
        <v>8067511.0635641301</v>
      </c>
      <c r="E53" s="335">
        <v>260</v>
      </c>
      <c r="F53" s="335">
        <v>1958154.5288636</v>
      </c>
    </row>
    <row r="54" spans="1:6">
      <c r="A54" s="1295" t="s">
        <v>46</v>
      </c>
      <c r="B54" s="1295" t="s">
        <v>47</v>
      </c>
      <c r="C54" s="335">
        <v>0</v>
      </c>
      <c r="D54" s="335">
        <v>0</v>
      </c>
      <c r="E54" s="335">
        <v>1</v>
      </c>
      <c r="F54" s="335">
        <v>1194236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27</v>
      </c>
      <c r="D57" s="335">
        <v>1435814.1162582501</v>
      </c>
      <c r="E57" s="335">
        <v>107</v>
      </c>
      <c r="F57" s="335">
        <v>1839530.4929293599</v>
      </c>
    </row>
    <row r="58" spans="1:6">
      <c r="A58" s="1295" t="s">
        <v>49</v>
      </c>
      <c r="B58" s="1295" t="s">
        <v>51</v>
      </c>
      <c r="C58" s="335">
        <v>30</v>
      </c>
      <c r="D58" s="335">
        <v>1800121.2184834301</v>
      </c>
      <c r="E58" s="335">
        <v>36</v>
      </c>
      <c r="F58" s="335">
        <v>381401.88826851599</v>
      </c>
    </row>
    <row r="59" spans="1:6">
      <c r="A59" s="1295" t="s">
        <v>49</v>
      </c>
      <c r="B59" s="1295" t="s">
        <v>52</v>
      </c>
      <c r="C59" s="335">
        <v>103</v>
      </c>
      <c r="D59" s="335">
        <v>4353968.5246238802</v>
      </c>
      <c r="E59" s="335">
        <v>183</v>
      </c>
      <c r="F59" s="335">
        <v>3801893.7811476402</v>
      </c>
    </row>
    <row r="60" spans="1:6">
      <c r="A60" s="1295" t="s">
        <v>49</v>
      </c>
      <c r="B60" s="1295" t="s">
        <v>53</v>
      </c>
      <c r="C60" s="335">
        <v>18</v>
      </c>
      <c r="D60" s="335">
        <v>909804.33624358103</v>
      </c>
      <c r="E60" s="335">
        <v>26</v>
      </c>
      <c r="F60" s="335">
        <v>506615.63358360197</v>
      </c>
    </row>
    <row r="61" spans="1:6">
      <c r="A61" s="1295" t="s">
        <v>49</v>
      </c>
      <c r="B61" s="1295" t="s">
        <v>54</v>
      </c>
      <c r="C61" s="335">
        <v>306</v>
      </c>
      <c r="D61" s="335">
        <v>22765865.675807498</v>
      </c>
      <c r="E61" s="335">
        <v>465</v>
      </c>
      <c r="F61" s="335">
        <v>7576366.7223960897</v>
      </c>
    </row>
    <row r="62" spans="1:6">
      <c r="A62" s="1295" t="s">
        <v>49</v>
      </c>
      <c r="B62" s="1295" t="s">
        <v>55</v>
      </c>
      <c r="C62" s="335">
        <v>11</v>
      </c>
      <c r="D62" s="335">
        <v>2228687.01196079</v>
      </c>
      <c r="E62" s="335">
        <v>13</v>
      </c>
      <c r="F62" s="335">
        <v>1426105.7334976499</v>
      </c>
    </row>
    <row r="63" spans="1:6">
      <c r="A63" s="1295" t="s">
        <v>49</v>
      </c>
      <c r="B63" s="1295" t="s">
        <v>29</v>
      </c>
      <c r="C63" s="335">
        <v>88</v>
      </c>
      <c r="D63" s="335">
        <v>5167525.0524538402</v>
      </c>
      <c r="E63" s="335">
        <v>75</v>
      </c>
      <c r="F63" s="335">
        <v>1385714.92431981</v>
      </c>
    </row>
    <row r="64" spans="1:6">
      <c r="A64" s="1295" t="s">
        <v>56</v>
      </c>
      <c r="B64" s="1295" t="s">
        <v>57</v>
      </c>
      <c r="C64" s="335">
        <v>0</v>
      </c>
      <c r="D64" s="335">
        <v>0</v>
      </c>
      <c r="E64" s="335">
        <v>0</v>
      </c>
      <c r="F64" s="335">
        <v>0</v>
      </c>
    </row>
    <row r="65" spans="1:6">
      <c r="A65" s="1295" t="s">
        <v>56</v>
      </c>
      <c r="B65" s="1295" t="s">
        <v>29</v>
      </c>
      <c r="C65" s="335">
        <v>3</v>
      </c>
      <c r="D65" s="335">
        <v>82402.992684515993</v>
      </c>
      <c r="E65" s="335">
        <v>3</v>
      </c>
      <c r="F65" s="335">
        <v>15107.434510853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42099074</v>
      </c>
      <c r="E73" s="335">
        <v>43765817.854659125</v>
      </c>
    </row>
    <row r="74" spans="1:6">
      <c r="A74" s="1295" t="s">
        <v>64</v>
      </c>
      <c r="B74" s="1295" t="s">
        <v>727</v>
      </c>
      <c r="C74" s="1295" t="s">
        <v>728</v>
      </c>
      <c r="D74" s="335">
        <v>289783.12535389524</v>
      </c>
      <c r="E74" s="335">
        <v>306408.12029838748</v>
      </c>
    </row>
    <row r="75" spans="1:6">
      <c r="A75" s="1295" t="s">
        <v>65</v>
      </c>
      <c r="B75" s="1295" t="s">
        <v>725</v>
      </c>
      <c r="C75" s="1295" t="s">
        <v>729</v>
      </c>
      <c r="D75" s="335">
        <v>61912314</v>
      </c>
      <c r="E75" s="335">
        <v>63801533.070832357</v>
      </c>
    </row>
    <row r="76" spans="1:6">
      <c r="A76" s="1295" t="s">
        <v>65</v>
      </c>
      <c r="B76" s="1295" t="s">
        <v>727</v>
      </c>
      <c r="C76" s="1295" t="s">
        <v>730</v>
      </c>
      <c r="D76" s="335">
        <v>1070198.1253538951</v>
      </c>
      <c r="E76" s="335">
        <v>1070800.2338129107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492529.74929220957</v>
      </c>
      <c r="C83" s="335">
        <v>488215.52488168475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895.37049999999999</v>
      </c>
    </row>
    <row r="92" spans="1:6">
      <c r="A92" s="1291" t="s">
        <v>69</v>
      </c>
      <c r="B92" s="338">
        <v>245.55279999999999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3717</v>
      </c>
    </row>
    <row r="98" spans="1:6">
      <c r="A98" s="1295" t="s">
        <v>72</v>
      </c>
      <c r="B98" s="335">
        <v>2</v>
      </c>
    </row>
    <row r="99" spans="1:6">
      <c r="A99" s="1295" t="s">
        <v>73</v>
      </c>
      <c r="B99" s="335">
        <v>15</v>
      </c>
    </row>
    <row r="100" spans="1:6">
      <c r="A100" s="1295" t="s">
        <v>74</v>
      </c>
      <c r="B100" s="335">
        <v>320</v>
      </c>
    </row>
    <row r="101" spans="1:6">
      <c r="A101" s="1295" t="s">
        <v>75</v>
      </c>
      <c r="B101" s="335">
        <v>35</v>
      </c>
    </row>
    <row r="102" spans="1:6">
      <c r="A102" s="1295" t="s">
        <v>76</v>
      </c>
      <c r="B102" s="335">
        <v>97</v>
      </c>
    </row>
    <row r="103" spans="1:6">
      <c r="A103" s="1295" t="s">
        <v>77</v>
      </c>
      <c r="B103" s="335">
        <v>46</v>
      </c>
    </row>
    <row r="104" spans="1:6">
      <c r="A104" s="1295" t="s">
        <v>78</v>
      </c>
      <c r="B104" s="335">
        <v>1914</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2</v>
      </c>
    </row>
    <row r="124" spans="1:6">
      <c r="A124" s="1291" t="s">
        <v>89</v>
      </c>
      <c r="B124" s="335">
        <v>0</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1</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56945.753586706436</v>
      </c>
      <c r="C3" s="43" t="s">
        <v>170</v>
      </c>
      <c r="D3" s="43"/>
      <c r="E3" s="156"/>
      <c r="F3" s="43"/>
      <c r="G3" s="43"/>
      <c r="H3" s="43"/>
      <c r="I3" s="43"/>
      <c r="J3" s="43"/>
      <c r="K3" s="96"/>
    </row>
    <row r="4" spans="1:11">
      <c r="A4" s="366" t="s">
        <v>171</v>
      </c>
      <c r="B4" s="49">
        <f>IF(ISERROR('SEAP template'!B78+'SEAP template'!C78),0,'SEAP template'!B78+'SEAP template'!C78)</f>
        <v>1140.9232999999999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0.21657220629425719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1194.2360000000001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1194.2360000000001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0.21657220629425719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258.63832535602853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34301.9780075284</v>
      </c>
      <c r="C5" s="17">
        <f>IF(ISERROR('Eigen informatie GS &amp; warmtenet'!B57),0,'Eigen informatie GS &amp; warmtenet'!B57)</f>
        <v>0</v>
      </c>
      <c r="D5" s="30">
        <f>(SUM(HH_hh_gas_kWh,HH_rest_gas_kWh)/1000)*0.902</f>
        <v>143762.02471965624</v>
      </c>
      <c r="E5" s="17">
        <f>B46*B57</f>
        <v>873.66294478597183</v>
      </c>
      <c r="F5" s="17">
        <f>B51*B62</f>
        <v>12941.824832003625</v>
      </c>
      <c r="G5" s="18"/>
      <c r="H5" s="17"/>
      <c r="I5" s="17"/>
      <c r="J5" s="17">
        <f>B50*B61+C50*C61</f>
        <v>0</v>
      </c>
      <c r="K5" s="17"/>
      <c r="L5" s="17"/>
      <c r="M5" s="17"/>
      <c r="N5" s="17">
        <f>B48*B59+C48*C59</f>
        <v>7642.3641666071426</v>
      </c>
      <c r="O5" s="17">
        <f>B69*B70*B71</f>
        <v>75.040000000000006</v>
      </c>
      <c r="P5" s="17">
        <f>B77*B78*B79/1000-B77*B78*B79/1000/B80</f>
        <v>133.46666666666667</v>
      </c>
    </row>
    <row r="6" spans="1:16">
      <c r="A6" s="16" t="s">
        <v>634</v>
      </c>
      <c r="B6" s="783">
        <f>kWh_PV_kleiner_dan_10kW</f>
        <v>895.37049999999999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35197.348507528397</v>
      </c>
      <c r="C8" s="21">
        <f>C5</f>
        <v>0</v>
      </c>
      <c r="D8" s="21">
        <f>D5</f>
        <v>143762.02471965624</v>
      </c>
      <c r="E8" s="21">
        <f>E5</f>
        <v>873.66294478597183</v>
      </c>
      <c r="F8" s="21">
        <f>F5</f>
        <v>12941.824832003625</v>
      </c>
      <c r="G8" s="21"/>
      <c r="H8" s="21"/>
      <c r="I8" s="21"/>
      <c r="J8" s="21">
        <f>J5</f>
        <v>0</v>
      </c>
      <c r="K8" s="21"/>
      <c r="L8" s="21">
        <f>L5</f>
        <v>0</v>
      </c>
      <c r="M8" s="21">
        <f>M5</f>
        <v>0</v>
      </c>
      <c r="N8" s="21">
        <f>N5</f>
        <v>7642.3641666071426</v>
      </c>
      <c r="O8" s="21">
        <f>O5</f>
        <v>75.040000000000006</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0.21657220629425719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7622.7674219833052</v>
      </c>
      <c r="C12" s="23">
        <f ca="1">C10*C8</f>
        <v>0</v>
      </c>
      <c r="D12" s="23">
        <f>D8*D10</f>
        <v>29039.928993370562</v>
      </c>
      <c r="E12" s="23">
        <f>E10*E8</f>
        <v>198.32148846641562</v>
      </c>
      <c r="F12" s="23">
        <f>F10*F8</f>
        <v>3455.4672301449682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3717</v>
      </c>
      <c r="C18" s="168" t="s">
        <v>111</v>
      </c>
      <c r="D18" s="230"/>
      <c r="E18" s="15"/>
    </row>
    <row r="19" spans="1:7">
      <c r="A19" s="173" t="s">
        <v>72</v>
      </c>
      <c r="B19" s="37">
        <f>aantalw2001_ander</f>
        <v>2</v>
      </c>
      <c r="C19" s="168" t="s">
        <v>111</v>
      </c>
      <c r="D19" s="231"/>
      <c r="E19" s="15"/>
    </row>
    <row r="20" spans="1:7">
      <c r="A20" s="173" t="s">
        <v>73</v>
      </c>
      <c r="B20" s="37">
        <f>aantalw2001_propaan</f>
        <v>15</v>
      </c>
      <c r="C20" s="169">
        <f>IF(ISERROR(B20/SUM($B$20,$B$21,$B$22)*100),0,B20/SUM($B$20,$B$21,$B$22)*100)</f>
        <v>4.0540540540540544</v>
      </c>
      <c r="D20" s="231"/>
      <c r="E20" s="15"/>
    </row>
    <row r="21" spans="1:7">
      <c r="A21" s="173" t="s">
        <v>74</v>
      </c>
      <c r="B21" s="37">
        <f>aantalw2001_elektriciteit</f>
        <v>320</v>
      </c>
      <c r="C21" s="169">
        <f>IF(ISERROR(B21/SUM($B$20,$B$21,$B$22)*100),0,B21/SUM($B$20,$B$21,$B$22)*100)</f>
        <v>86.486486486486484</v>
      </c>
      <c r="D21" s="231"/>
      <c r="E21" s="15"/>
    </row>
    <row r="22" spans="1:7">
      <c r="A22" s="173" t="s">
        <v>75</v>
      </c>
      <c r="B22" s="37">
        <f>aantalw2001_hout</f>
        <v>35</v>
      </c>
      <c r="C22" s="169">
        <f>IF(ISERROR(B22/SUM($B$20,$B$21,$B$22)*100),0,B22/SUM($B$20,$B$21,$B$22)*100)</f>
        <v>9.4594594594594597</v>
      </c>
      <c r="D22" s="231"/>
      <c r="E22" s="15"/>
    </row>
    <row r="23" spans="1:7">
      <c r="A23" s="173" t="s">
        <v>76</v>
      </c>
      <c r="B23" s="37">
        <f>aantalw2001_niet_gespec</f>
        <v>97</v>
      </c>
      <c r="C23" s="168" t="s">
        <v>111</v>
      </c>
      <c r="D23" s="230"/>
      <c r="E23" s="15"/>
    </row>
    <row r="24" spans="1:7">
      <c r="A24" s="173" t="s">
        <v>77</v>
      </c>
      <c r="B24" s="37">
        <f>aantalw2001_steenkool</f>
        <v>46</v>
      </c>
      <c r="C24" s="168" t="s">
        <v>111</v>
      </c>
      <c r="D24" s="231"/>
      <c r="E24" s="15"/>
    </row>
    <row r="25" spans="1:7">
      <c r="A25" s="173" t="s">
        <v>78</v>
      </c>
      <c r="B25" s="37">
        <f>aantalw2001_stookolie</f>
        <v>1914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6828</v>
      </c>
      <c r="C28" s="36"/>
      <c r="D28" s="230"/>
    </row>
    <row r="29" spans="1:7" s="15" customFormat="1">
      <c r="A29" s="232" t="s">
        <v>746</v>
      </c>
      <c r="B29" s="37">
        <f>SUM(HH_hh_gas_aantal,HH_rest_gas_aantal)</f>
        <v>5275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5275</v>
      </c>
      <c r="C32" s="169">
        <f>IF(ISERROR(B32/SUM($B$32,$B$34,$B$35,$B$36,$B$38,$B$39)*100),0,B32/SUM($B$32,$B$34,$B$35,$B$36,$B$38,$B$39)*100)</f>
        <v>77.334701656648591</v>
      </c>
      <c r="D32" s="235"/>
      <c r="G32" s="15"/>
    </row>
    <row r="33" spans="1:7">
      <c r="A33" s="173" t="s">
        <v>72</v>
      </c>
      <c r="B33" s="34" t="s">
        <v>111</v>
      </c>
      <c r="C33" s="169"/>
      <c r="D33" s="235"/>
      <c r="G33" s="15"/>
    </row>
    <row r="34" spans="1:7">
      <c r="A34" s="173" t="s">
        <v>73</v>
      </c>
      <c r="B34" s="33">
        <f>IF((($B$28-$B$32-$B$39-$B$77-$B$38)*C20/100)&lt;0,0,($B$28-$B$32-$B$39-$B$77-$B$38)*C20/100)</f>
        <v>41.927027027027037</v>
      </c>
      <c r="C34" s="169">
        <f>IF(ISERROR(B34/SUM($B$32,$B$34,$B$35,$B$36,$B$38,$B$39)*100),0,B34/SUM($B$32,$B$34,$B$35,$B$36,$B$38,$B$39)*100)</f>
        <v>0.6146756637886972</v>
      </c>
      <c r="D34" s="235"/>
      <c r="G34" s="15"/>
    </row>
    <row r="35" spans="1:7">
      <c r="A35" s="173" t="s">
        <v>74</v>
      </c>
      <c r="B35" s="33">
        <f>IF((($B$28-$B$32-$B$39-$B$77-$B$38)*C21/100)&lt;0,0,($B$28-$B$32-$B$39-$B$77-$B$38)*C21/100)</f>
        <v>894.44324324324316</v>
      </c>
      <c r="C35" s="169">
        <f>IF(ISERROR(B35/SUM($B$32,$B$34,$B$35,$B$36,$B$38,$B$39)*100),0,B35/SUM($B$32,$B$34,$B$35,$B$36,$B$38,$B$39)*100)</f>
        <v>13.113080827492201</v>
      </c>
      <c r="D35" s="235"/>
      <c r="G35" s="15"/>
    </row>
    <row r="36" spans="1:7">
      <c r="A36" s="173" t="s">
        <v>75</v>
      </c>
      <c r="B36" s="33">
        <f>IF((($B$28-$B$32-$B$39-$B$77-$B$38)*C22/100)&lt;0,0,($B$28-$B$32-$B$39-$B$77-$B$38)*C22/100)</f>
        <v>97.829729729729735</v>
      </c>
      <c r="C36" s="169">
        <f>IF(ISERROR(B36/SUM($B$32,$B$34,$B$35,$B$36,$B$38,$B$39)*100),0,B36/SUM($B$32,$B$34,$B$35,$B$36,$B$38,$B$39)*100)</f>
        <v>1.4342432155069598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511.79999999999995</v>
      </c>
      <c r="C39" s="169">
        <f>IF(ISERROR(B39/SUM($B$32,$B$34,$B$35,$B$36,$B$38,$B$39)*100),0,B39/SUM($B$32,$B$34,$B$35,$B$36,$B$38,$B$39)*100)</f>
        <v>7.503298636563553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5275</v>
      </c>
      <c r="C44" s="34" t="s">
        <v>111</v>
      </c>
      <c r="D44" s="176"/>
    </row>
    <row r="45" spans="1:7">
      <c r="A45" s="173" t="s">
        <v>72</v>
      </c>
      <c r="B45" s="33" t="str">
        <f t="shared" si="0"/>
        <v>-</v>
      </c>
      <c r="C45" s="34" t="s">
        <v>111</v>
      </c>
      <c r="D45" s="176"/>
    </row>
    <row r="46" spans="1:7">
      <c r="A46" s="173" t="s">
        <v>73</v>
      </c>
      <c r="B46" s="33">
        <f t="shared" si="0"/>
        <v>41.927027027027037</v>
      </c>
      <c r="C46" s="34" t="s">
        <v>111</v>
      </c>
      <c r="D46" s="176"/>
    </row>
    <row r="47" spans="1:7">
      <c r="A47" s="173" t="s">
        <v>74</v>
      </c>
      <c r="B47" s="33">
        <f t="shared" si="0"/>
        <v>894.44324324324316</v>
      </c>
      <c r="C47" s="34" t="s">
        <v>111</v>
      </c>
      <c r="D47" s="176"/>
    </row>
    <row r="48" spans="1:7">
      <c r="A48" s="173" t="s">
        <v>75</v>
      </c>
      <c r="B48" s="33">
        <f t="shared" si="0"/>
        <v>97.829729729729735</v>
      </c>
      <c r="C48" s="33">
        <f>B48*10</f>
        <v>978.29729729729729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511.79999999999995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16917.629176142669</v>
      </c>
      <c r="C5" s="17">
        <f>IF(ISERROR('Eigen informatie GS &amp; warmtenet'!B58),0,'Eigen informatie GS &amp; warmtenet'!B58)</f>
        <v>0</v>
      </c>
      <c r="D5" s="30">
        <f>SUM(D6:D12)</f>
        <v>34872.93091411981</v>
      </c>
      <c r="E5" s="17">
        <f>SUM(E6:E12)</f>
        <v>139.76986148175484</v>
      </c>
      <c r="F5" s="17">
        <f>SUM(F6:F12)</f>
        <v>3347.6004112061787</v>
      </c>
      <c r="G5" s="18"/>
      <c r="H5" s="17"/>
      <c r="I5" s="17"/>
      <c r="J5" s="17">
        <f>SUM(J6:J12)</f>
        <v>0</v>
      </c>
      <c r="K5" s="17"/>
      <c r="L5" s="17"/>
      <c r="M5" s="17"/>
      <c r="N5" s="17">
        <f>SUM(N6:N12)</f>
        <v>1410.0656060716062</v>
      </c>
      <c r="O5" s="17">
        <f>B38*B39*B40</f>
        <v>1.5633333333333335</v>
      </c>
      <c r="P5" s="17">
        <f>B46*B47*B48/1000-B46*B47*B48/1000/B49</f>
        <v>0</v>
      </c>
      <c r="R5" s="32"/>
    </row>
    <row r="6" spans="1:18">
      <c r="A6" s="32" t="s">
        <v>54</v>
      </c>
      <c r="B6" s="37">
        <f>B26</f>
        <v>7576.3667223960892</v>
      </c>
      <c r="C6" s="33"/>
      <c r="D6" s="37">
        <f>IF(ISERROR(TER_kantoor_gas_kWh/1000),0,TER_kantoor_gas_kWh/1000)*0.902</f>
        <v>20534.810839578364</v>
      </c>
      <c r="E6" s="33">
        <f>$C$26*'E Balans VL '!I12/100/3.6*1000000</f>
        <v>29.435788726801345</v>
      </c>
      <c r="F6" s="33">
        <f>$C$26*('E Balans VL '!L12+'E Balans VL '!N12)/100/3.6*1000000</f>
        <v>1152.2964390356008</v>
      </c>
      <c r="G6" s="34"/>
      <c r="H6" s="33"/>
      <c r="I6" s="33"/>
      <c r="J6" s="33">
        <f>$C$26*('E Balans VL '!D12+'E Balans VL '!E12)/100/3.6*1000000</f>
        <v>0</v>
      </c>
      <c r="K6" s="33"/>
      <c r="L6" s="33"/>
      <c r="M6" s="33"/>
      <c r="N6" s="33">
        <f>$C$26*'E Balans VL '!Y12/100/3.6*1000000</f>
        <v>4.1754856904215254</v>
      </c>
      <c r="O6" s="33"/>
      <c r="P6" s="33"/>
      <c r="R6" s="32"/>
    </row>
    <row r="7" spans="1:18">
      <c r="A7" s="32" t="s">
        <v>53</v>
      </c>
      <c r="B7" s="37">
        <f t="shared" ref="B7:B12" si="0">B27</f>
        <v>506.61563358360195</v>
      </c>
      <c r="C7" s="33"/>
      <c r="D7" s="37">
        <f>IF(ISERROR(TER_horeca_gas_kWh/1000),0,TER_horeca_gas_kWh/1000)*0.902</f>
        <v>820.64351129171007</v>
      </c>
      <c r="E7" s="33">
        <f>$C$27*'E Balans VL '!I9/100/3.6*1000000</f>
        <v>28.537794086343592</v>
      </c>
      <c r="F7" s="33">
        <f>$C$27*('E Balans VL '!L9+'E Balans VL '!N9)/100/3.6*1000000</f>
        <v>146.07761826669406</v>
      </c>
      <c r="G7" s="34"/>
      <c r="H7" s="33"/>
      <c r="I7" s="33"/>
      <c r="J7" s="33">
        <f>$C$27*('E Balans VL '!D9+'E Balans VL '!E9)/100/3.6*1000000</f>
        <v>0</v>
      </c>
      <c r="K7" s="33"/>
      <c r="L7" s="33"/>
      <c r="M7" s="33"/>
      <c r="N7" s="33">
        <f>$C$27*'E Balans VL '!Y9/100/3.6*1000000</f>
        <v>0.13987394380990503</v>
      </c>
      <c r="O7" s="33"/>
      <c r="P7" s="33"/>
      <c r="R7" s="32"/>
    </row>
    <row r="8" spans="1:18">
      <c r="A8" s="6" t="s">
        <v>52</v>
      </c>
      <c r="B8" s="37">
        <f t="shared" si="0"/>
        <v>3801.8937811476403</v>
      </c>
      <c r="C8" s="33"/>
      <c r="D8" s="37">
        <f>IF(ISERROR(TER_handel_gas_kWh/1000),0,TER_handel_gas_kWh/1000)*0.902</f>
        <v>3927.2796092107405</v>
      </c>
      <c r="E8" s="33">
        <f>$C$28*'E Balans VL '!I13/100/3.6*1000000</f>
        <v>54.798187928845692</v>
      </c>
      <c r="F8" s="33">
        <f>$C$28*('E Balans VL '!L13+'E Balans VL '!N13)/100/3.6*1000000</f>
        <v>660.4774899169214</v>
      </c>
      <c r="G8" s="34"/>
      <c r="H8" s="33"/>
      <c r="I8" s="33"/>
      <c r="J8" s="33">
        <f>$C$28*('E Balans VL '!D13+'E Balans VL '!E13)/100/3.6*1000000</f>
        <v>0</v>
      </c>
      <c r="K8" s="33"/>
      <c r="L8" s="33"/>
      <c r="M8" s="33"/>
      <c r="N8" s="33">
        <f>$C$28*'E Balans VL '!Y13/100/3.6*1000000</f>
        <v>11.390897003852762</v>
      </c>
      <c r="O8" s="33"/>
      <c r="P8" s="33"/>
      <c r="R8" s="32"/>
    </row>
    <row r="9" spans="1:18">
      <c r="A9" s="32" t="s">
        <v>51</v>
      </c>
      <c r="B9" s="37">
        <f t="shared" si="0"/>
        <v>381.40188826851602</v>
      </c>
      <c r="C9" s="33"/>
      <c r="D9" s="37">
        <f>IF(ISERROR(TER_gezond_gas_kWh/1000),0,TER_gezond_gas_kWh/1000)*0.902</f>
        <v>1623.709339072054</v>
      </c>
      <c r="E9" s="33">
        <f>$C$29*'E Balans VL '!I10/100/3.6*1000000</f>
        <v>0.4074360724098523</v>
      </c>
      <c r="F9" s="33">
        <f>$C$29*('E Balans VL '!L10+'E Balans VL '!N10)/100/3.6*1000000</f>
        <v>62.218239214943431</v>
      </c>
      <c r="G9" s="34"/>
      <c r="H9" s="33"/>
      <c r="I9" s="33"/>
      <c r="J9" s="33">
        <f>$C$29*('E Balans VL '!D10+'E Balans VL '!E10)/100/3.6*1000000</f>
        <v>0</v>
      </c>
      <c r="K9" s="33"/>
      <c r="L9" s="33"/>
      <c r="M9" s="33"/>
      <c r="N9" s="33">
        <f>$C$29*'E Balans VL '!Y10/100/3.6*1000000</f>
        <v>3.9263148161485835</v>
      </c>
      <c r="O9" s="33"/>
      <c r="P9" s="33"/>
      <c r="R9" s="32"/>
    </row>
    <row r="10" spans="1:18">
      <c r="A10" s="32" t="s">
        <v>50</v>
      </c>
      <c r="B10" s="37">
        <f t="shared" si="0"/>
        <v>1839.53049292936</v>
      </c>
      <c r="C10" s="33"/>
      <c r="D10" s="37">
        <f>IF(ISERROR(TER_ander_gas_kWh/1000),0,TER_ander_gas_kWh/1000)*0.902</f>
        <v>1295.1043328649416</v>
      </c>
      <c r="E10" s="33">
        <f>$C$30*'E Balans VL '!I14/100/3.6*1000000</f>
        <v>8.4597209236225908</v>
      </c>
      <c r="F10" s="33">
        <f>$C$30*('E Balans VL '!L14+'E Balans VL '!N14)/100/3.6*1000000</f>
        <v>551.36531273777518</v>
      </c>
      <c r="G10" s="34"/>
      <c r="H10" s="33"/>
      <c r="I10" s="33"/>
      <c r="J10" s="33">
        <f>$C$30*('E Balans VL '!D14+'E Balans VL '!E14)/100/3.6*1000000</f>
        <v>0</v>
      </c>
      <c r="K10" s="33"/>
      <c r="L10" s="33"/>
      <c r="M10" s="33"/>
      <c r="N10" s="33">
        <f>$C$30*'E Balans VL '!Y14/100/3.6*1000000</f>
        <v>1280.4346519006936</v>
      </c>
      <c r="O10" s="33"/>
      <c r="P10" s="33"/>
      <c r="R10" s="32"/>
    </row>
    <row r="11" spans="1:18">
      <c r="A11" s="32" t="s">
        <v>55</v>
      </c>
      <c r="B11" s="37">
        <f t="shared" si="0"/>
        <v>1426.1057334976499</v>
      </c>
      <c r="C11" s="33"/>
      <c r="D11" s="37">
        <f>IF(ISERROR(TER_onderwijs_gas_kWh/1000),0,TER_onderwijs_gas_kWh/1000)*0.902</f>
        <v>2010.2756847886328</v>
      </c>
      <c r="E11" s="33">
        <f>$C$31*'E Balans VL '!I11/100/3.6*1000000</f>
        <v>1.3229006132416998</v>
      </c>
      <c r="F11" s="33">
        <f>$C$31*('E Balans VL '!L11+'E Balans VL '!N11)/100/3.6*1000000</f>
        <v>500.95816749395925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1385.7149243198101</v>
      </c>
      <c r="C12" s="33"/>
      <c r="D12" s="37">
        <f>IF(ISERROR(TER_rest_gas_kWh/1000),0,TER_rest_gas_kWh/1000)*0.902</f>
        <v>4661.1075973133647</v>
      </c>
      <c r="E12" s="33">
        <f>$C$32*'E Balans VL '!I8/100/3.6*1000000</f>
        <v>16.808033130490099</v>
      </c>
      <c r="F12" s="33">
        <f>$C$32*('E Balans VL '!L8+'E Balans VL '!N8)/100/3.6*1000000</f>
        <v>274.20714454028484</v>
      </c>
      <c r="G12" s="34"/>
      <c r="H12" s="33"/>
      <c r="I12" s="33"/>
      <c r="J12" s="33">
        <f>$C$32*('E Balans VL '!D8+'E Balans VL '!E8)/100/3.6*1000000</f>
        <v>0</v>
      </c>
      <c r="K12" s="33"/>
      <c r="L12" s="33"/>
      <c r="M12" s="33"/>
      <c r="N12" s="33">
        <f>$C$32*'E Balans VL '!Y8/100/3.6*1000000</f>
        <v>109.99838271667994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16917.629176142669</v>
      </c>
      <c r="C16" s="21">
        <f t="shared" ca="1" si="1"/>
        <v>0</v>
      </c>
      <c r="D16" s="21">
        <f t="shared" ca="1" si="1"/>
        <v>34872.93091411981</v>
      </c>
      <c r="E16" s="21">
        <f t="shared" si="1"/>
        <v>139.76986148175484</v>
      </c>
      <c r="F16" s="21">
        <f t="shared" ca="1" si="1"/>
        <v>3347.6004112061787</v>
      </c>
      <c r="G16" s="21">
        <f t="shared" si="1"/>
        <v>0</v>
      </c>
      <c r="H16" s="21">
        <f t="shared" si="1"/>
        <v>0</v>
      </c>
      <c r="I16" s="21">
        <f t="shared" si="1"/>
        <v>0</v>
      </c>
      <c r="J16" s="21">
        <f t="shared" si="1"/>
        <v>0</v>
      </c>
      <c r="K16" s="21">
        <f t="shared" si="1"/>
        <v>0</v>
      </c>
      <c r="L16" s="21">
        <f t="shared" ca="1" si="1"/>
        <v>0</v>
      </c>
      <c r="M16" s="21">
        <f t="shared" si="1"/>
        <v>0</v>
      </c>
      <c r="N16" s="21">
        <f t="shared" ca="1" si="1"/>
        <v>1410.0656060716062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0.21657220629425719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3663.8882759453145</v>
      </c>
      <c r="C20" s="23">
        <f t="shared" ref="C20:P20" ca="1" si="2">C16*C18</f>
        <v>0</v>
      </c>
      <c r="D20" s="23">
        <f t="shared" ca="1" si="2"/>
        <v>7044.3320446522021</v>
      </c>
      <c r="E20" s="23">
        <f t="shared" si="2"/>
        <v>31.727758556358349</v>
      </c>
      <c r="F20" s="23">
        <f t="shared" ca="1" si="2"/>
        <v>893.80930979204982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7576.3667223960892</v>
      </c>
      <c r="C26" s="39">
        <f>IF(ISERROR(B26*3.6/1000000/'E Balans VL '!Z12*100),0,B26*3.6/1000000/'E Balans VL '!Z12*100)</f>
        <v>0.16092578202790414</v>
      </c>
      <c r="D26" s="239" t="s">
        <v>692</v>
      </c>
      <c r="F26" s="6"/>
    </row>
    <row r="27" spans="1:18">
      <c r="A27" s="233" t="s">
        <v>53</v>
      </c>
      <c r="B27" s="33">
        <f>IF(ISERROR(TER_horeca_ele_kWh/1000),0,TER_horeca_ele_kWh/1000)</f>
        <v>506.61563358360195</v>
      </c>
      <c r="C27" s="39">
        <f>IF(ISERROR(B27*3.6/1000000/'E Balans VL '!Z9*100),0,B27*3.6/1000000/'E Balans VL '!Z9*100)</f>
        <v>3.9392450839999447E-2</v>
      </c>
      <c r="D27" s="239" t="s">
        <v>692</v>
      </c>
      <c r="F27" s="6"/>
    </row>
    <row r="28" spans="1:18">
      <c r="A28" s="173" t="s">
        <v>52</v>
      </c>
      <c r="B28" s="33">
        <f>IF(ISERROR(TER_handel_ele_kWh/1000),0,TER_handel_ele_kWh/1000)</f>
        <v>3801.8937811476403</v>
      </c>
      <c r="C28" s="39">
        <f>IF(ISERROR(B28*3.6/1000000/'E Balans VL '!Z13*100),0,B28*3.6/1000000/'E Balans VL '!Z13*100)</f>
        <v>0.10877665546001929</v>
      </c>
      <c r="D28" s="239" t="s">
        <v>692</v>
      </c>
      <c r="F28" s="6"/>
    </row>
    <row r="29" spans="1:18">
      <c r="A29" s="233" t="s">
        <v>51</v>
      </c>
      <c r="B29" s="33">
        <f>IF(ISERROR(TER_gezond_ele_kWh/1000),0,TER_gezond_ele_kWh/1000)</f>
        <v>381.40188826851602</v>
      </c>
      <c r="C29" s="39">
        <f>IF(ISERROR(B29*3.6/1000000/'E Balans VL '!Z10*100),0,B29*3.6/1000000/'E Balans VL '!Z10*100)</f>
        <v>4.1581668538229775E-2</v>
      </c>
      <c r="D29" s="239" t="s">
        <v>692</v>
      </c>
      <c r="F29" s="6"/>
    </row>
    <row r="30" spans="1:18">
      <c r="A30" s="233" t="s">
        <v>50</v>
      </c>
      <c r="B30" s="33">
        <f>IF(ISERROR(TER_ander_ele_kWh/1000),0,TER_ander_ele_kWh/1000)</f>
        <v>1839.53049292936</v>
      </c>
      <c r="C30" s="39">
        <f>IF(ISERROR(B30*3.6/1000000/'E Balans VL '!Z14*100),0,B30*3.6/1000000/'E Balans VL '!Z14*100)</f>
        <v>0.13461266859656726</v>
      </c>
      <c r="D30" s="239" t="s">
        <v>692</v>
      </c>
      <c r="F30" s="6"/>
    </row>
    <row r="31" spans="1:18">
      <c r="A31" s="233" t="s">
        <v>55</v>
      </c>
      <c r="B31" s="33">
        <f>IF(ISERROR(TER_onderwijs_ele_kWh/1000),0,TER_onderwijs_ele_kWh/1000)</f>
        <v>1426.1057334976499</v>
      </c>
      <c r="C31" s="39">
        <f>IF(ISERROR(B31*3.6/1000000/'E Balans VL '!Z11*100),0,B31*3.6/1000000/'E Balans VL '!Z11*100)</f>
        <v>0.2864343955699189</v>
      </c>
      <c r="D31" s="239" t="s">
        <v>692</v>
      </c>
    </row>
    <row r="32" spans="1:18">
      <c r="A32" s="233" t="s">
        <v>260</v>
      </c>
      <c r="B32" s="33">
        <f>IF(ISERROR(TER_rest_ele_kWh/1000),0,TER_rest_ele_kWh/1000)</f>
        <v>1385.7149243198101</v>
      </c>
      <c r="C32" s="39">
        <f>IF(ISERROR(B32*3.6/1000000/'E Balans VL '!Z8*100),0,B32*3.6/1000000/'E Balans VL '!Z8*100)</f>
        <v>1.1292735685546755E-2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1607.8964875961913</v>
      </c>
      <c r="C5" s="17">
        <f>IF(ISERROR('Eigen informatie GS &amp; warmtenet'!B59),0,'Eigen informatie GS &amp; warmtenet'!B59)</f>
        <v>0</v>
      </c>
      <c r="D5" s="30">
        <f>SUM(D6:D15)</f>
        <v>2428.439016962132</v>
      </c>
      <c r="E5" s="17">
        <f>SUM(E6:E15)</f>
        <v>372.93761546776784</v>
      </c>
      <c r="F5" s="17">
        <f>SUM(F6:F15)</f>
        <v>947.45829110670854</v>
      </c>
      <c r="G5" s="18"/>
      <c r="H5" s="17"/>
      <c r="I5" s="17"/>
      <c r="J5" s="17">
        <f>SUM(J6:J15)</f>
        <v>0.52560293102270195</v>
      </c>
      <c r="K5" s="17"/>
      <c r="L5" s="17"/>
      <c r="M5" s="17"/>
      <c r="N5" s="17">
        <f>SUM(N6:N15)</f>
        <v>537.0958592028569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44.327833856995902</v>
      </c>
      <c r="C8" s="33"/>
      <c r="D8" s="37">
        <f>IF( ISERROR(IND_metaal_Gas_kWH/1000),0,IND_metaal_Gas_kWH/1000)*0.902</f>
        <v>0</v>
      </c>
      <c r="E8" s="33">
        <f>C30*'E Balans VL '!I18/100/3.6*1000000</f>
        <v>1.2732617746491932</v>
      </c>
      <c r="F8" s="33">
        <f>C30*'E Balans VL '!L18/100/3.6*1000000+C30*'E Balans VL '!N18/100/3.6*1000000</f>
        <v>11.369236837553791</v>
      </c>
      <c r="G8" s="34"/>
      <c r="H8" s="33"/>
      <c r="I8" s="33"/>
      <c r="J8" s="40">
        <f>C30*'E Balans VL '!D18/100/3.6*1000000+C30*'E Balans VL '!E18/100/3.6*1000000</f>
        <v>0</v>
      </c>
      <c r="K8" s="33"/>
      <c r="L8" s="33"/>
      <c r="M8" s="33"/>
      <c r="N8" s="33">
        <f>C30*'E Balans VL '!Y18/100/3.6*1000000</f>
        <v>1.203591175146181</v>
      </c>
      <c r="O8" s="33"/>
      <c r="P8" s="33"/>
      <c r="R8" s="32"/>
    </row>
    <row r="9" spans="1:18">
      <c r="A9" s="6" t="s">
        <v>33</v>
      </c>
      <c r="B9" s="37">
        <f t="shared" si="0"/>
        <v>1329.7197427936201</v>
      </c>
      <c r="C9" s="33"/>
      <c r="D9" s="37">
        <f>IF( ISERROR(IND_andere_gas_kWh/1000),0,IND_andere_gas_kWh/1000)*0.902</f>
        <v>1698.3645011758711</v>
      </c>
      <c r="E9" s="33">
        <f>C31*'E Balans VL '!I19/100/3.6*1000000</f>
        <v>359.92244050113538</v>
      </c>
      <c r="F9" s="33">
        <f>C31*'E Balans VL '!L19/100/3.6*1000000+C31*'E Balans VL '!N19/100/3.6*1000000</f>
        <v>885.7340624430675</v>
      </c>
      <c r="G9" s="34"/>
      <c r="H9" s="33"/>
      <c r="I9" s="33"/>
      <c r="J9" s="40">
        <f>C31*'E Balans VL '!D19/100/3.6*1000000+C31*'E Balans VL '!E19/100/3.6*1000000</f>
        <v>0</v>
      </c>
      <c r="K9" s="33"/>
      <c r="L9" s="33"/>
      <c r="M9" s="33"/>
      <c r="N9" s="33">
        <f>C31*'E Balans VL '!Y19/100/3.6*1000000</f>
        <v>434.1314074861674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28.780617909609198</v>
      </c>
      <c r="C13" s="33"/>
      <c r="D13" s="37">
        <f>IF( ISERROR(IND_papier_gas_kWh/1000),0,IND_papier_gas_kWh/1000)*0.902</f>
        <v>128.8976644892042</v>
      </c>
      <c r="E13" s="33">
        <f>C35*'E Balans VL '!I23/100/3.6*1000000</f>
        <v>0.30152940449018678</v>
      </c>
      <c r="F13" s="33">
        <f>C35*'E Balans VL '!L23/100/3.6*1000000+C35*'E Balans VL '!N23/100/3.6*1000000</f>
        <v>2.1476148096653898</v>
      </c>
      <c r="G13" s="34"/>
      <c r="H13" s="33"/>
      <c r="I13" s="33"/>
      <c r="J13" s="40">
        <f>C35*'E Balans VL '!D23/100/3.6*1000000+C35*'E Balans VL '!E23/100/3.6*1000000</f>
        <v>0</v>
      </c>
      <c r="K13" s="33"/>
      <c r="L13" s="33"/>
      <c r="M13" s="33"/>
      <c r="N13" s="33">
        <f>C35*'E Balans VL '!Y23/100/3.6*1000000</f>
        <v>61.515566752166542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205.06829303596601</v>
      </c>
      <c r="C15" s="33"/>
      <c r="D15" s="37">
        <f>IF( ISERROR(IND_rest_gas_kWh/1000),0,IND_rest_gas_kWh/1000)*0.902</f>
        <v>601.17685129705637</v>
      </c>
      <c r="E15" s="33">
        <f>C37*'E Balans VL '!I15/100/3.6*1000000</f>
        <v>11.440383787493111</v>
      </c>
      <c r="F15" s="33">
        <f>C37*'E Balans VL '!L15/100/3.6*1000000+C37*'E Balans VL '!N15/100/3.6*1000000</f>
        <v>48.207377016421866</v>
      </c>
      <c r="G15" s="34"/>
      <c r="H15" s="33"/>
      <c r="I15" s="33"/>
      <c r="J15" s="40">
        <f>C37*'E Balans VL '!D15/100/3.6*1000000+C37*'E Balans VL '!E15/100/3.6*1000000</f>
        <v>0.52560293102270195</v>
      </c>
      <c r="K15" s="33"/>
      <c r="L15" s="33"/>
      <c r="M15" s="33"/>
      <c r="N15" s="33">
        <f>C37*'E Balans VL '!Y15/100/3.6*1000000</f>
        <v>40.24529378937676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1607.8964875961913</v>
      </c>
      <c r="C18" s="21">
        <f>C5+C16</f>
        <v>0</v>
      </c>
      <c r="D18" s="21">
        <f>MAX((D5+D16),0)</f>
        <v>2428.439016962132</v>
      </c>
      <c r="E18" s="21">
        <f>MAX((E5+E16),0)</f>
        <v>372.93761546776784</v>
      </c>
      <c r="F18" s="21">
        <f>MAX((F5+F16),0)</f>
        <v>947.45829110670854</v>
      </c>
      <c r="G18" s="21"/>
      <c r="H18" s="21"/>
      <c r="I18" s="21"/>
      <c r="J18" s="21">
        <f>MAX((J5+J16),0)</f>
        <v>0.52560293102270195</v>
      </c>
      <c r="K18" s="21"/>
      <c r="L18" s="21">
        <f>MAX((L5+L16),0)</f>
        <v>0</v>
      </c>
      <c r="M18" s="21"/>
      <c r="N18" s="21">
        <f>MAX((N5+N16),0)</f>
        <v>537.0958592028569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0.21657220629425719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348.22568981149391</v>
      </c>
      <c r="C22" s="23">
        <f ca="1">C18*C20</f>
        <v>0</v>
      </c>
      <c r="D22" s="23">
        <f>D18*D20</f>
        <v>490.54468142635068</v>
      </c>
      <c r="E22" s="23">
        <f>E18*E20</f>
        <v>84.656838711183298</v>
      </c>
      <c r="F22" s="23">
        <f>F18*F20</f>
        <v>252.97136372549119</v>
      </c>
      <c r="G22" s="23"/>
      <c r="H22" s="23"/>
      <c r="I22" s="23"/>
      <c r="J22" s="23">
        <f>J18*J20</f>
        <v>0.18606343758203647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44.327833856995902</v>
      </c>
      <c r="C30" s="39">
        <f>IF(ISERROR(B30*3.6/1000000/'E Balans VL '!Z18*100),0,B30*3.6/1000000/'E Balans VL '!Z18*100)</f>
        <v>4.3617456946226062E-3</v>
      </c>
      <c r="D30" s="239" t="s">
        <v>692</v>
      </c>
    </row>
    <row r="31" spans="1:18">
      <c r="A31" s="6" t="s">
        <v>33</v>
      </c>
      <c r="B31" s="37">
        <f>IF( ISERROR(IND_ander_ele_kWh/1000),0,IND_ander_ele_kWh/1000)</f>
        <v>1329.7197427936201</v>
      </c>
      <c r="C31" s="39">
        <f>IF(ISERROR(B31*3.6/1000000/'E Balans VL '!Z19*100),0,B31*3.6/1000000/'E Balans VL '!Z19*100)</f>
        <v>5.7908234091671985E-2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28.780617909609198</v>
      </c>
      <c r="C35" s="39">
        <f>IF(ISERROR(B35*3.6/1000000/'E Balans VL '!Z22*100),0,B35*3.6/1000000/'E Balans VL '!Z22*100)</f>
        <v>4.0468438840478918E-3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205.06829303596601</v>
      </c>
      <c r="C37" s="39">
        <f>IF(ISERROR(B37*3.6/1000000/'E Balans VL '!Z15*100),0,B37*3.6/1000000/'E Balans VL '!Z15*100)</f>
        <v>1.5803030736247553E-3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64.809454362509101</v>
      </c>
      <c r="C5" s="17">
        <f>'Eigen informatie GS &amp; warmtenet'!B60</f>
        <v>0</v>
      </c>
      <c r="D5" s="30">
        <f>IF(ISERROR(SUM(LB_lb_gas_kWh,LB_rest_gas_kWh)/1000),0,SUM(LB_lb_gas_kWh,LB_rest_gas_kWh)/1000)*0.902</f>
        <v>39.80081005598398</v>
      </c>
      <c r="E5" s="17">
        <f>B17*'E Balans VL '!I25/3.6*1000000/100</f>
        <v>0.81668261652038421</v>
      </c>
      <c r="F5" s="17">
        <f>B17*('E Balans VL '!L25/3.6*1000000+'E Balans VL '!N25/3.6*1000000)/100</f>
        <v>223.60885328909939</v>
      </c>
      <c r="G5" s="18"/>
      <c r="H5" s="17"/>
      <c r="I5" s="17"/>
      <c r="J5" s="17">
        <f>('E Balans VL '!D25+'E Balans VL '!E25)/3.6*1000000*landbouw!B17/100</f>
        <v>9.7466052082457235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64.809454362509101</v>
      </c>
      <c r="C8" s="21">
        <f>C5+C6</f>
        <v>0</v>
      </c>
      <c r="D8" s="21">
        <f>MAX((D5+D6),0)</f>
        <v>39.80081005598398</v>
      </c>
      <c r="E8" s="21">
        <f>MAX((E5+E6),0)</f>
        <v>0.81668261652038421</v>
      </c>
      <c r="F8" s="21">
        <f>MAX((F5+F6),0)</f>
        <v>223.60885328909939</v>
      </c>
      <c r="G8" s="21"/>
      <c r="H8" s="21"/>
      <c r="I8" s="21"/>
      <c r="J8" s="21">
        <f>MAX((J5+J6),0)</f>
        <v>9.7466052082457235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0.21657220629425719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14.035926520015568</v>
      </c>
      <c r="C12" s="23">
        <f ca="1">C8*C10</f>
        <v>0</v>
      </c>
      <c r="D12" s="23">
        <f>D8*D10</f>
        <v>8.0397636313087641</v>
      </c>
      <c r="E12" s="23">
        <f>E8*E10</f>
        <v>0.18538695395012722</v>
      </c>
      <c r="F12" s="23">
        <f>F8*F10</f>
        <v>59.703563828189537</v>
      </c>
      <c r="G12" s="23"/>
      <c r="H12" s="23"/>
      <c r="I12" s="23"/>
      <c r="J12" s="23">
        <f>J8*J10</f>
        <v>3.450298243718986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9.0388762081382648E-3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47.355592098967193</v>
      </c>
      <c r="C26" s="249">
        <f>B26*'GWP N2O_CH4'!B5</f>
        <v>994.46743407831104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5.5148778046067282</v>
      </c>
      <c r="C27" s="249">
        <f>B27*'GWP N2O_CH4'!B5</f>
        <v>115.8124338967413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0.64614484161021546</v>
      </c>
      <c r="C28" s="249">
        <f>B28*'GWP N2O_CH4'!B4</f>
        <v>200.3049008991668</v>
      </c>
      <c r="D28" s="50"/>
    </row>
    <row r="29" spans="1:4">
      <c r="A29" s="41" t="s">
        <v>277</v>
      </c>
      <c r="B29" s="249">
        <f>B34*'ha_N2O bodem landbouw'!B4</f>
        <v>2.4660424004508941</v>
      </c>
      <c r="C29" s="249">
        <f>B29*'GWP N2O_CH4'!B4</f>
        <v>764.47314413977711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6.1574614600917667E-4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2.044595596704556E-5</v>
      </c>
      <c r="C5" s="448" t="s">
        <v>211</v>
      </c>
      <c r="D5" s="433">
        <f>SUM(D6:D11)</f>
        <v>4.2425399980420815E-5</v>
      </c>
      <c r="E5" s="433">
        <f>SUM(E6:E11)</f>
        <v>1.2563244425578025E-3</v>
      </c>
      <c r="F5" s="446" t="s">
        <v>211</v>
      </c>
      <c r="G5" s="433">
        <f>SUM(G6:G11)</f>
        <v>0.23234257580450587</v>
      </c>
      <c r="H5" s="433">
        <f>SUM(H6:H11)</f>
        <v>6.2544843095479682E-2</v>
      </c>
      <c r="I5" s="448" t="s">
        <v>211</v>
      </c>
      <c r="J5" s="448" t="s">
        <v>211</v>
      </c>
      <c r="K5" s="448" t="s">
        <v>211</v>
      </c>
      <c r="L5" s="448" t="s">
        <v>211</v>
      </c>
      <c r="M5" s="433">
        <f>SUM(M6:M11)</f>
        <v>1.3341791002657812E-2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8.2755920270710398E-6</v>
      </c>
      <c r="C6" s="887"/>
      <c r="D6" s="887">
        <f>vkm_2011_GW_PW*SUMIFS(TableVerdeelsleutelVkm[CNG],TableVerdeelsleutelVkm[Voertuigtype],"Lichte voertuigen")*SUMIFS(TableECFTransport[EnergieConsumptieFactor (PJ per km)],TableECFTransport[Index],CONCATENATE($A6,"_CNG_CNG"))</f>
        <v>1.1719856855706154E-5</v>
      </c>
      <c r="E6" s="887">
        <f>vkm_2011_GW_PW*SUMIFS(TableVerdeelsleutelVkm[LPG],TableVerdeelsleutelVkm[Voertuigtype],"Lichte voertuigen")*SUMIFS(TableECFTransport[EnergieConsumptieFactor (PJ per km)],TableECFTransport[Index],CONCATENATE($A6,"_LPG_LPG"))</f>
        <v>3.680821210503678E-4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6.615443599183185E-2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1.7726613442462451E-2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3.7950466993980172E-3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2.7354797842264107E-3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9.7188760926641326E-7</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1.234435454657438E-4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1.2170363939974518E-5</v>
      </c>
      <c r="C8" s="887"/>
      <c r="D8" s="436">
        <f>vkm_2011_NGW_PW*SUMIFS(TableVerdeelsleutelVkm[CNG],TableVerdeelsleutelVkm[Voertuigtype],"Lichte voertuigen")*SUMIFS(TableECFTransport[EnergieConsumptieFactor (PJ per km)],TableECFTransport[Index],CONCATENATE($A8,"_CNG_CNG"))</f>
        <v>3.0705543124714662E-5</v>
      </c>
      <c r="E8" s="436">
        <f>vkm_2011_NGW_PW*SUMIFS(TableVerdeelsleutelVkm[LPG],TableVerdeelsleutelVkm[Voertuigtype],"Lichte voertuigen")*SUMIFS(TableECFTransport[EnergieConsumptieFactor (PJ per km)],TableECFTransport[Index],CONCATENATE($A8,"_LPG_LPG"))</f>
        <v>8.8824232150743463E-4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0.15056568677827903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4.4812925069944241E-2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8.8417636870402605E-3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1.2886973250168599E-2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4.332695463727743E-6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5.8153707075379044E-4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5.6794322130682113</v>
      </c>
      <c r="C14" s="21"/>
      <c r="D14" s="21">
        <f t="shared" ref="D14:M14" si="0">((D5)*10^9/3600)+D12</f>
        <v>11.78483332789467</v>
      </c>
      <c r="E14" s="21">
        <f t="shared" si="0"/>
        <v>348.97901182161178</v>
      </c>
      <c r="F14" s="21"/>
      <c r="G14" s="21">
        <f t="shared" si="0"/>
        <v>64539.604390140521</v>
      </c>
      <c r="H14" s="21">
        <f t="shared" si="0"/>
        <v>17373.567526522133</v>
      </c>
      <c r="I14" s="21"/>
      <c r="J14" s="21"/>
      <c r="K14" s="21"/>
      <c r="L14" s="21"/>
      <c r="M14" s="21">
        <f t="shared" si="0"/>
        <v>3706.0530562938366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0.21657220629425719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1.2300071648828583</v>
      </c>
      <c r="C18" s="23"/>
      <c r="D18" s="23">
        <f t="shared" ref="D18:M18" si="1">D14*D16</f>
        <v>2.3805363322347235</v>
      </c>
      <c r="E18" s="23">
        <f t="shared" si="1"/>
        <v>79.218235683505881</v>
      </c>
      <c r="F18" s="23"/>
      <c r="G18" s="23">
        <f t="shared" si="1"/>
        <v>17232.074372167521</v>
      </c>
      <c r="H18" s="23">
        <f t="shared" si="1"/>
        <v>4326.0183141040106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6.4257639866708675E-3</v>
      </c>
      <c r="H50" s="323">
        <f t="shared" si="2"/>
        <v>0</v>
      </c>
      <c r="I50" s="323">
        <f t="shared" si="2"/>
        <v>0</v>
      </c>
      <c r="J50" s="323">
        <f t="shared" si="2"/>
        <v>0</v>
      </c>
      <c r="K50" s="323">
        <f t="shared" si="2"/>
        <v>0</v>
      </c>
      <c r="L50" s="323">
        <f t="shared" si="2"/>
        <v>0</v>
      </c>
      <c r="M50" s="323">
        <f t="shared" si="2"/>
        <v>2.8576944136863208E-4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6.4257639866708675E-3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2.8576944136863208E-4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1784.9344407419076</v>
      </c>
      <c r="H54" s="21">
        <f t="shared" si="3"/>
        <v>0</v>
      </c>
      <c r="I54" s="21">
        <f t="shared" si="3"/>
        <v>0</v>
      </c>
      <c r="J54" s="21">
        <f t="shared" si="3"/>
        <v>0</v>
      </c>
      <c r="K54" s="21">
        <f t="shared" si="3"/>
        <v>0</v>
      </c>
      <c r="L54" s="21">
        <f t="shared" si="3"/>
        <v>0</v>
      </c>
      <c r="M54" s="21">
        <f t="shared" si="3"/>
        <v>79.380400380175573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0.21657220629425719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476.57749567808935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1140.9232999999999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1140.9232999999999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2019-08-12T08:01:58Z</dcterms:modified>
</cp:coreProperties>
</file>