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5"/>
  <c r="M26"/>
  <c r="M30"/>
  <c r="M24"/>
  <c r="M22"/>
  <c r="M23"/>
  <c r="L10" i="14"/>
  <c r="L16" s="1"/>
  <c r="L27" s="1"/>
  <c r="K5" i="48"/>
  <c r="L28"/>
  <c r="L29"/>
  <c r="L32"/>
  <c r="L30"/>
  <c r="L27"/>
  <c r="L31"/>
  <c r="L24"/>
  <c r="L22"/>
  <c r="C24" i="14"/>
  <c r="C26" s="1"/>
  <c r="B7" i="48"/>
  <c r="J29"/>
  <c r="J31"/>
  <c r="J32"/>
  <c r="J27"/>
  <c r="J24"/>
  <c r="J30"/>
  <c r="J28"/>
  <c r="O4"/>
  <c r="P11" i="14"/>
  <c r="E11"/>
  <c r="D4" i="48"/>
  <c r="D22" s="1"/>
  <c r="G32"/>
  <c r="G26"/>
  <c r="G22"/>
  <c r="G30"/>
  <c r="G29"/>
  <c r="G25"/>
  <c r="G24"/>
  <c r="G23"/>
  <c r="D30"/>
  <c r="D28"/>
  <c r="D29"/>
  <c r="D31"/>
  <c r="D24"/>
  <c r="D32"/>
  <c r="P5"/>
  <c r="P23" s="1"/>
  <c r="Q10" i="14"/>
  <c r="K32" i="48"/>
  <c r="K28"/>
  <c r="K26"/>
  <c r="K22"/>
  <c r="K25"/>
  <c r="K31"/>
  <c r="K30"/>
  <c r="K29"/>
  <c r="K24"/>
  <c r="K27"/>
  <c r="P4"/>
  <c r="Q11" i="14"/>
  <c r="I29" i="48"/>
  <c r="I31"/>
  <c r="I26"/>
  <c r="I32"/>
  <c r="I25"/>
  <c r="I27"/>
  <c r="I22"/>
  <c r="I30"/>
  <c r="I28"/>
  <c r="I24"/>
  <c r="H29"/>
  <c r="H26"/>
  <c r="H32"/>
  <c r="H25"/>
  <c r="H28"/>
  <c r="H22"/>
  <c r="H30"/>
  <c r="H24"/>
  <c r="H23"/>
  <c r="D11" i="14"/>
  <c r="C4" i="48"/>
  <c r="C11" i="14"/>
  <c r="B4" i="48"/>
  <c r="F32"/>
  <c r="F27"/>
  <c r="F24"/>
  <c r="F28"/>
  <c r="F29"/>
  <c r="F30"/>
  <c r="F31"/>
  <c r="N32"/>
  <c r="N29"/>
  <c r="N31"/>
  <c r="N28"/>
  <c r="N27"/>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D9" i="48" l="1"/>
  <c r="D27" s="1"/>
  <c r="E20" i="14"/>
  <c r="E22" s="1"/>
  <c r="F4" i="48"/>
  <c r="F22" s="1"/>
  <c r="G11" i="14"/>
  <c r="K24"/>
  <c r="K26" s="1"/>
  <c r="J7" i="48"/>
  <c r="J25" s="1"/>
  <c r="H18" i="14"/>
  <c r="G13" i="48"/>
  <c r="H13"/>
  <c r="H31" s="1"/>
  <c r="I18" i="14"/>
  <c r="O22" i="48"/>
  <c r="E9"/>
  <c r="F20" i="14"/>
  <c r="F22" s="1"/>
  <c r="P22" i="16"/>
  <c r="Q43" i="14" s="1"/>
  <c r="P8" i="48"/>
  <c r="P26" s="1"/>
  <c r="Q13" i="14"/>
  <c r="Q16" s="1"/>
  <c r="Q27" s="1"/>
  <c r="Q63" s="1"/>
  <c r="L61"/>
  <c r="L63" s="1"/>
  <c r="B9" i="48"/>
  <c r="C20" i="14"/>
  <c r="O5" i="48"/>
  <c r="O23" s="1"/>
  <c r="P10" i="14"/>
  <c r="J10"/>
  <c r="J16" s="1"/>
  <c r="J27" s="1"/>
  <c r="I5" i="48"/>
  <c r="M12" i="22"/>
  <c r="N18" i="14"/>
  <c r="M13" i="48"/>
  <c r="M31" s="1"/>
  <c r="C22" i="14"/>
  <c r="P22" i="48"/>
  <c r="K15"/>
  <c r="K23"/>
  <c r="K33"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I23"/>
  <c r="I33" s="1"/>
  <c r="I15"/>
  <c r="G31"/>
  <c r="Q13"/>
  <c r="M9"/>
  <c r="N20" i="14"/>
  <c r="H20"/>
  <c r="G9" i="48"/>
  <c r="O8"/>
  <c r="P13" i="14"/>
  <c r="M10" i="48"/>
  <c r="M28" s="1"/>
  <c r="N19" i="14"/>
  <c r="E7" i="48"/>
  <c r="E25" s="1"/>
  <c r="F24" i="14"/>
  <c r="F26" s="1"/>
  <c r="H19"/>
  <c r="G10" i="48"/>
  <c r="E27"/>
  <c r="N22" i="14"/>
  <c r="N27" s="1"/>
  <c r="P15" i="48"/>
  <c r="P16" i="14"/>
  <c r="P27" s="1"/>
  <c r="P33" i="48"/>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O26" i="48"/>
  <c r="O33" s="1"/>
  <c r="O15"/>
  <c r="I20" i="14"/>
  <c r="H9" i="48"/>
  <c r="E20" i="15"/>
  <c r="F40" i="14" s="1"/>
  <c r="E5" i="48"/>
  <c r="E23" s="1"/>
  <c r="F10" i="14"/>
  <c r="E22" i="48"/>
  <c r="Q4"/>
  <c r="K10" i="14"/>
  <c r="J5" i="48"/>
  <c r="J23" s="1"/>
  <c r="M27"/>
  <c r="M33" s="1"/>
  <c r="M15"/>
  <c r="G28"/>
  <c r="Q10"/>
  <c r="G27"/>
  <c r="G33" s="1"/>
  <c r="G15"/>
  <c r="J22"/>
  <c r="N63" i="14"/>
  <c r="R19"/>
  <c r="H22"/>
  <c r="H27" s="1"/>
  <c r="E46"/>
  <c r="E61"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E8" i="48"/>
  <c r="F13" i="14"/>
  <c r="F16" s="1"/>
  <c r="F27" s="1"/>
  <c r="F63" s="1"/>
  <c r="R20"/>
  <c r="I22"/>
  <c r="I27" s="1"/>
  <c r="H27" i="48"/>
  <c r="H33" s="1"/>
  <c r="H15"/>
  <c r="Q9"/>
  <c r="J22" i="16"/>
  <c r="K43" i="14" s="1"/>
  <c r="K46" s="1"/>
  <c r="K61" s="1"/>
  <c r="K13"/>
  <c r="K16" s="1"/>
  <c r="K27" s="1"/>
  <c r="J8" i="48"/>
  <c r="I63" i="14"/>
  <c r="H63"/>
  <c r="E63"/>
  <c r="F46"/>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<sst xmlns="http://schemas.openxmlformats.org/spreadsheetml/2006/main" count="2432" uniqueCount="913">
  <si>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</si>
  <si>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</si>
  <si>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</si>
  <si>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</si>
  <si>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</si>
  <si>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</si>
  <si>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</si>
  <si>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</si>
  <si>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</si>
  <si>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</si>
  <si>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</si>
  <si>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</si>
  <si>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</si>
  <si>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</si>
  <si>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</si>
  <si>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</si>
  <si>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</si>
  <si>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</si>
  <si>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</si>
  <si>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</si>
  <si>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</si>
  <si>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</si>
  <si>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</si>
  <si>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</si>
  <si>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</si>
  <si>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</si>
  <si>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</si>
  <si>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</si>
  <si>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</si>
  <si>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</si>
  <si>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</si>
  <si>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</si>
  <si>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</si>
  <si>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</si>
  <si>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</si>
  <si>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</si>
  <si>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</si>
  <si>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</si>
  <si>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</si>
  <si>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</si>
  <si>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</si>
  <si>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</si>
  <si>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</si>
  <si>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</si>
  <si>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</si>
  <si>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</si>
  <si>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</si>
  <si>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</si>
  <si>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</si>
  <si>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</si>
  <si>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</si>
  <si>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</si>
  <si>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</si>
  <si>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</si>
  <si>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</si>
  <si>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</si>
  <si>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</si>
  <si>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</si>
  <si>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</si>
  <si>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</si>
  <si>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</si>
  <si>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</si>
  <si>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</si>
  <si>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</si>
  <si>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</si>
  <si>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</si>
  <si>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</si>
  <si>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</si>
  <si>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</si>
  <si>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</si>
  <si>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</si>
  <si>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</si>
  <si>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</si>
  <si>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</si>
  <si>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</si>
  <si>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</si>
  <si>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</si>
  <si>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</si>
  <si>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</si>
  <si>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</si>
  <si>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</si>
  <si>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</si>
  <si>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</si>
  <si>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</si>
  <si>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</si>
  <si>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</si>
  <si>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</si>
  <si>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</si>
  <si>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</si>
  <si>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</si>
  <si>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</si>
  <si>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</si>
  <si>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</si>
  <si>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</si>
  <si>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</si>
  <si>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</si>
  <si>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</si>
  <si>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</si>
  <si>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</si>
  <si>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</si>
  <si>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</si>
  <si>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</si>
  <si>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</si>
  <si>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</si>
  <si>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</si>
  <si>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</si>
  <si>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</si>
  <si>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</si>
  <si>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</si>
  <si>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</si>
  <si>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</si>
  <si>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</si>
  <si>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</si>
  <si>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</si>
  <si>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</si>
  <si>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</si>
  <si>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</si>
  <si>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</si>
  <si>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</si>
  <si>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</si>
  <si>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</si>
  <si>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</si>
  <si>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</si>
  <si>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</si>
  <si>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</si>
  <si>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</si>
  <si>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</si>
  <si>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</si>
  <si>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</si>
  <si>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</si>
  <si>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</si>
  <si>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</si>
  <si>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</si>
  <si>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</si>
  <si>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</si>
  <si>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</si>
  <si>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</si>
  <si>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</si>
  <si>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</si>
  <si>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</si>
  <si>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</si>
  <si>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</si>
  <si>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</si>
  <si>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</si>
  <si>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</si>
  <si>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</si>
  <si>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</si>
  <si>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</si>
  <si>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</si>
  <si>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</si>
  <si>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</si>
  <si>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</si>
  <si>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</si>
  <si>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</si>
  <si>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</si>
  <si>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</si>
  <si>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</si>
  <si>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</si>
  <si>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</si>
  <si>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</si>
  <si>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</si>
  <si>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</si>
  <si>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</si>
  <si>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</si>
  <si>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</si>
  <si>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</si>
  <si>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</si>
  <si>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</si>
  <si>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</si>
  <si>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</si>
  <si>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</si>
  <si>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</si>
  <si>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</si>
  <si>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</si>
  <si>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</si>
  <si>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</si>
  <si>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</si>
  <si>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</si>
  <si>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</si>
  <si>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</si>
  <si>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</si>
  <si>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</si>
  <si>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</si>
  <si>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</si>
  <si>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</si>
  <si>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</si>
  <si>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</si>
  <si>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</si>
  <si>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</si>
  <si>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</si>
  <si>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</si>
  <si>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</si>
  <si>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</si>
  <si>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</si>
  <si>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</si>
  <si>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</si>
  <si>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</si>
  <si>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</si>
  <si>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</si>
  <si>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</si>
  <si>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</si>
  <si>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</si>
  <si>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</si>
  <si>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</si>
  <si>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</si>
  <si>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</si>
  <si>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</si>
  <si>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</si>
  <si>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</si>
  <si>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</si>
  <si>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</si>
  <si>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</si>
  <si>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</si>
  <si>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</si>
  <si>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</si>
  <si>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</si>
  <si>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</si>
  <si>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</si>
  <si>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</si>
  <si>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</si>
  <si>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</si>
  <si>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</si>
  <si>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</si>
  <si>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</si>
  <si>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</si>
  <si>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</si>
  <si>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</si>
  <si>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</si>
  <si>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</si>
  <si>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</si>
  <si>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</si>
  <si>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</si>
  <si>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</si>
  <si>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</si>
  <si>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</si>
  <si>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</si>
  <si>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</si>
  <si>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</si>
  <si>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</si>
  <si>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</si>
  <si>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</si>
  <si>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</si>
  <si>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</si>
  <si>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</si>
  <si>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</si>
  <si>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</si>
  <si>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</si>
  <si>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</si>
  <si>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</si>
  <si>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</si>
  <si>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</si>
  <si>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</si>
  <si>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</si>
  <si>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</si>
  <si>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</si>
  <si>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</si>
  <si>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</si>
  <si>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</si>
  <si>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</si>
  <si>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</si>
  <si>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</si>
  <si>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</si>
  <si>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</si>
  <si>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</si>
  <si>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</si>
  <si>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</si>
  <si>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</si>
  <si>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</si>
  <si>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</si>
  <si>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</si>
  <si>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</si>
  <si>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</si>
  <si>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</si>
  <si>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</si>
  <si>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</si>
  <si>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</si>
  <si>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</si>
  <si>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</si>
  <si>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</si>
  <si>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</si>
  <si>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</si>
  <si>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</si>
  <si>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</si>
  <si>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</si>
  <si>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</si>
  <si>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</si>
  <si>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</si>
  <si>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</si>
  <si>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</si>
  <si>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</si>
  <si>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</si>
  <si>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</si>
  <si>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</si>
  <si>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</si>
  <si>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</si>
  <si>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</si>
  <si>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</si>
  <si>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</si>
  <si>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</si>
  <si>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</si>
  <si>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</si>
  <si>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</si>
  <si>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</si>
  <si>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</si>
  <si>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</si>
  <si>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</si>
  <si>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</si>
  <si>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</si>
  <si>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</si>
  <si>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</si>
  <si>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</si>
  <si>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</si>
  <si>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</si>
  <si>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</si>
  <si>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</si>
  <si>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</si>
  <si>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</si>
  <si>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</si>
  <si>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</si>
  <si>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</si>
  <si>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</si>
  <si>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</si>
  <si>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</si>
  <si>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</si>
  <si>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</si>
  <si>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</si>
  <si>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</si>
  <si>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</si>
  <si>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</si>
  <si>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</si>
  <si>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</si>
  <si>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</si>
  <si>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</si>
  <si>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</si>
  <si>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</si>
  <si>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</si>
  <si>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</si>
  <si>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</si>
  <si>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</si>
  <si>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</si>
  <si>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</si>
  <si>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</si>
  <si>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</si>
  <si>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</si>
  <si>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</si>
  <si>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</si>
  <si>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</si>
  <si>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</si>
  <si>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</si>
  <si>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</si>
  <si>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</si>
  <si>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</si>
  <si>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</si>
  <si>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</si>
  <si>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</si>
  <si>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</si>
  <si>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</si>
  <si>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</si>
  <si>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</si>
  <si>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</si>
  <si>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</si>
  <si>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</si>
  <si>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</si>
  <si>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</si>
  <si>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</si>
  <si>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</si>
  <si>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</si>
  <si>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</si>
  <si>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</si>
  <si>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</si>
  <si>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</si>
  <si>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</si>
  <si>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</si>
  <si>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</si>
  <si>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</si>
  <si>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</si>
  <si>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</si>
  <si>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</si>
  <si>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</si>
  <si>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</si>
  <si>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</si>
  <si>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</si>
  <si>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</si>
  <si>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</si>
  <si>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</si>
  <si>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</si>
  <si>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</si>
  <si>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</si>
  <si>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</si>
  <si>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</si>
  <si>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</si>
  <si>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</si>
  <si>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</si>
  <si>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</si>
  <si>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</si>
  <si>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</si>
  <si>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</si>
  <si>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</si>
  <si>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</si>
  <si>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</si>
  <si>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</si>
  <si>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</si>
  <si>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</si>
  <si>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</si>
  <si>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</si>
  <si>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</si>
  <si>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</si>
  <si>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</si>
  <si>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</si>
  <si>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</si>
  <si>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</si>
  <si>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</si>
  <si>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</si>
  <si>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</si>
  <si>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</si>
  <si>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</si>
  <si>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</si>
  <si>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</si>
  <si>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</si>
  <si>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</si>
  <si>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</si>
  <si>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</si>
  <si>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</si>
  <si>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</si>
  <si>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</si>
  <si>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</si>
  <si>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</si>
  <si>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</si>
  <si>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</si>
  <si>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</si>
  <si>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</si>
  <si>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</si>
  <si>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</si>
  <si>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</si>
  <si>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</si>
  <si>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</si>
  <si>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</si>
  <si>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</si>
  <si>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</si>
  <si>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</si>
  <si>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</si>
  <si>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</si>
  <si>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</si>
  <si>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</si>
  <si>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</si>
  <si>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</si>
  <si>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</si>
  <si>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</si>
  <si>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</si>
  <si>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</si>
  <si>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</si>
  <si>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</si>
  <si>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</si>
  <si>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</si>
  <si>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</si>
  <si>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</si>
  <si>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</si>
  <si>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</si>
  <si>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</si>
  <si>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</si>
  <si>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</si>
  <si>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</si>
  <si>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</si>
  <si>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</si>
  <si>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</si>
  <si>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</si>
  <si>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</si>
  <si>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</si>
  <si>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</si>
  <si>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</si>
  <si>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</si>
  <si>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</si>
  <si>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</si>
  <si>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</si>
  <si>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</si>
  <si>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</si>
  <si>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</si>
  <si>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</si>
  <si>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</si>
  <si>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</si>
  <si>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</si>
  <si>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</si>
  <si>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</si>
  <si>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</si>
  <si>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</si>
  <si>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</si>
  <si>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</si>
  <si>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</si>
  <si>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</si>
  <si>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</si>
  <si>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</si>
  <si>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</si>
  <si>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</si>
  <si>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</si>
  <si>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</si>
  <si>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</si>
  <si>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</si>
  <si>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</si>
  <si>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</si>
  <si>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</si>
  <si>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</si>
  <si>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</si>
  <si>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</si>
  <si>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</si>
  <si>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</si>
  <si>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</si>
  <si>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</si>
  <si>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</si>
  <si>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</si>
  <si>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</si>
  <si>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</si>
  <si>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</si>
  <si>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</si>
  <si>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</si>
  <si>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</si>
  <si>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</si>
  <si>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</si>
  <si>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</si>
  <si>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</si>
  <si>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</si>
  <si>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</si>
  <si>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</si>
  <si>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</si>
  <si>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</si>
  <si>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</si>
  <si>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</si>
  <si>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</si>
  <si>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</si>
  <si>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</si>
  <si>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</si>
  <si>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</si>
  <si>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</si>
  <si>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</si>
  <si>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</si>
  <si>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</si>
  <si>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</si>
  <si>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</si>
  <si>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</si>
  <si>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</si>
  <si>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</si>
  <si>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</si>
  <si>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</si>
  <si>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</si>
  <si>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</si>
  <si>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</si>
  <si>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</si>
  <si>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</si>
  <si>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</si>
  <si>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</si>
  <si>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</si>
  <si>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</si>
  <si>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</si>
  <si>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</si>
  <si>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</si>
  <si>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</si>
  <si>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</si>
  <si>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</si>
  <si>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</si>
  <si>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</si>
  <si>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</si>
  <si>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</si>
  <si>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</si>
  <si>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</si>
  <si>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</si>
  <si>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</si>
  <si>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</si>
  <si>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</si>
  <si>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</si>
  <si>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</si>
  <si>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</si>
  <si>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</si>
  <si>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</si>
  <si>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</si>
  <si>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</si>
  <si>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</si>
  <si>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</si>
  <si>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</si>
  <si>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</si>
  <si>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</si>
  <si>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</si>
  <si>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</si>
  <si>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</si>
  <si>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</si>
  <si>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</si>
  <si>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</si>
  <si>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</si>
  <si>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</si>
  <si>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</si>
  <si>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</si>
  <si>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</si>
  <si>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</si>
  <si>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</si>
  <si>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</si>
  <si>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</si>
  <si>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</si>
  <si>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</si>
  <si>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</si>
  <si>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</si>
  <si>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</si>
  <si>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</si>
  <si>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</si>
  <si>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</si>
  <si>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</si>
  <si>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</si>
  <si>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</si>
  <si>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</si>
  <si>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</si>
  <si>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</si>
  <si>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</si>
  <si>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</si>
  <si>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</si>
  <si>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</si>
  <si>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</si>
  <si>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</si>
  <si>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</si>
  <si>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</si>
  <si>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</si>
  <si>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</si>
  <si>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</si>
  <si>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</si>
  <si>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</si>
  <si>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</si>
  <si>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</si>
  <si>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</si>
  <si>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</si>
  <si>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</si>
  <si>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</si>
  <si>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</si>
  <si>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</si>
  <si>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</si>
  <si>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</si>
  <si>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</si>
  <si>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</si>
  <si>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</si>
  <si>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</si>
  <si>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</si>
  <si>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</si>
  <si>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</si>
  <si>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</si>
  <si>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</si>
  <si>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</si>
  <si>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</si>
  <si>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</si>
  <si>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</si>
  <si>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</si>
  <si>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</si>
  <si>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</si>
  <si>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</si>
  <si>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</si>
  <si>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</si>
  <si>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</si>
  <si>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</si>
  <si>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</si>
  <si>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</si>
  <si>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</si>
  <si>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</si>
  <si>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</si>
  <si>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</si>
  <si>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</si>
  <si>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</si>
  <si>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</si>
  <si>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</si>
  <si>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</si>
  <si>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</si>
  <si>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</si>
  <si>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</si>
  <si>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</si>
  <si>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</si>
  <si>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</si>
  <si>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</si>
  <si>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</si>
  <si>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</si>
  <si>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</si>
  <si>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</si>
  <si>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</si>
  <si>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</si>
  <si>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</si>
  <si>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</si>
  <si>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</si>
  <si>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</si>
  <si>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</si>
  <si>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</si>
  <si>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</si>
  <si>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</si>
  <si>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</si>
  <si>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</si>
  <si>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</si>
  <si>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</si>
  <si>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</si>
  <si>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</si>
  <si>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</si>
  <si>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</si>
  <si>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</si>
  <si>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</si>
  <si>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</si>
  <si>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</si>
  <si>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</si>
  <si>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</si>
  <si>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</si>
  <si>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</si>
  <si>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</si>
  <si>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</si>
  <si>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</si>
  <si>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</si>
  <si>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</si>
  <si>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</si>
  <si>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</si>
  <si>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</si>
  <si>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</si>
  <si>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</si>
  <si>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</si>
  <si>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</si>
  <si>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</si>
  <si>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</si>
  <si>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</si>
  <si>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</si>
  <si>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</si>
  <si>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</si>
  <si>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</si>
  <si>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</si>
  <si>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</si>
  <si>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</si>
  <si>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</si>
  <si>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</si>
  <si>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</si>
  <si>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</si>
  <si>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</si>
  <si>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</si>
  <si>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</si>
  <si>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</si>
  <si>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</si>
  <si>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</si>
  <si>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</si>
  <si>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</si>
  <si>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</si>
  <si>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</si>
  <si>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</si>
  <si>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</si>
  <si>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</si>
  <si>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</si>
  <si>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</si>
  <si>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</si>
  <si>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</si>
  <si>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</si>
  <si>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</si>
  <si>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</si>
  <si>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</si>
  <si>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</si>
  <si>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</si>
  <si>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</si>
  <si>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</si>
  <si>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</si>
  <si>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</si>
  <si>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</si>
  <si>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</si>
  <si>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</si>
  <si>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</si>
  <si>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</si>
  <si>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</si>
  <si>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</si>
  <si>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</si>
  <si>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</si>
  <si>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</si>
  <si>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</si>
  <si>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</si>
  <si>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</si>
  <si>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</si>
  <si>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</si>
  <si>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</si>
  <si>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</si>
  <si>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</si>
  <si>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</si>
  <si>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</si>
  <si>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</si>
  <si>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</si>
  <si>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</si>
  <si>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</si>
  <si>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</si>
  <si>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</si>
  <si>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</si>
  <si>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</si>
  <si>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</si>
  <si>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</si>
  <si>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</si>
  <si>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</si>
  <si>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</si>
  <si>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</si>
  <si>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</si>
  <si>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</si>
  <si>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</si>
  <si>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</si>
  <si>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</si>
  <si>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</si>
  <si>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</si>
  <si>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</si>
  <si>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</si>
  <si>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</si>
  <si>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</si>
  <si>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</si>
  <si>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</si>
  <si>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</si>
  <si>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</si>
  <si>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</si>
  <si>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</si>
  <si>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</si>
  <si>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</si>
  <si>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</si>
  <si>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</si>
  <si>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</si>
  <si>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</si>
  <si>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</si>
  <si>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</si>
  <si>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</si>
  <si>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</si>
  <si>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</si>
  <si>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</si>
  <si>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</si>
  <si>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</si>
  <si>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</si>
  <si>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</si>
  <si>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</si>
  <si>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</si>
  <si>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</si>
  <si>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</si>
  <si>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</si>
  <si>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</si>
  <si>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</si>
  <si>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</si>
  <si>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</si>
  <si>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</si>
  <si>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</si>
  <si>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</si>
  <si>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</si>
  <si>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</si>
  <si>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</si>
  <si>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</si>
  <si>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</si>
  <si>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</si>
  <si>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</si>
  <si>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</si>
  <si>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</si>
  <si>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</si>
  <si>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</si>
  <si>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</si>
  <si>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</si>
  <si>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</si>
  <si>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</si>
  <si>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</si>
  <si>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</si>
  <si>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</si>
  <si>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</si>
  <si>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</si>
  <si>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</si>
  <si>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</si>
  <si>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</si>
  <si>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</si>
  <si>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</si>
  <si>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</si>
  <si>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</si>
  <si>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</si>
  <si>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</si>
  <si>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</si>
  <si>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</si>
  <si>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</si>
  <si>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</si>
  <si>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</si>
  <si>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</si>
  <si>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</si>
  <si>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</si>
  <si>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</si>
  <si>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</si>
  <si>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</si>
  <si>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</si>
  <si>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</si>
  <si>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</si>
  <si>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</si>
  <si>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</si>
  <si>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</si>
  <si>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</si>
  <si>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</si>
  <si>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</si>
  <si>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</si>
  <si>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</si>
  <si>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</si>
  <si>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</si>
  <si>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</si>
  <si>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</si>
  <si>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</si>
  <si>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</si>
  <si>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</si>
  <si>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</si>
  <si>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</si>
  <si>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</si>
  <si>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</si>
  <si>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</si>
  <si>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</si>
  <si>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</si>
  <si>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</si>
  <si>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</si>
  <si>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</si>
  <si>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</si>
  <si>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</si>
  <si>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</si>
  <si>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</si>
  <si>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</si>
  <si>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</si>
  <si>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23096</t>
  </si>
  <si>
    <t>ZEMST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</si>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</sst>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201076.91125040915</c:v>
                </c:pt>
                <c:pt idx="1">
                  <c:v>45871.840158799328</c:v>
                </c:pt>
                <c:pt idx="2">
                  <c:v>1773.393</c:v>
                </c:pt>
                <c:pt idx="3">
                  <c:v>2212.8931732104629</c:v>
                </c:pt>
                <c:pt idx="4">
                  <c:v>5504.8729464947182</c:v>
                </c:pt>
                <c:pt idx="5">
                  <c:v>224714.76779134842</c:v>
                </c:pt>
                <c:pt idx="6">
                  <c:v>2528.9018476195174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201076.91125040915</c:v>
                </c:pt>
                <c:pt idx="1">
                  <c:v>45871.840158799328</c:v>
                </c:pt>
                <c:pt idx="2">
                  <c:v>1773.393</c:v>
                </c:pt>
                <c:pt idx="3">
                  <c:v>2212.8931732104629</c:v>
                </c:pt>
                <c:pt idx="4">
                  <c:v>5504.8729464947182</c:v>
                </c:pt>
                <c:pt idx="5">
                  <c:v>224714.76779134842</c:v>
                </c:pt>
                <c:pt idx="6">
                  <c:v>2528.9018476195174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39626.966700901488</c:v>
                </c:pt>
                <c:pt idx="2">
                  <c:v>9067.2859651588224</c:v>
                </c:pt>
                <c:pt idx="3">
                  <c:v>349.69749691859698</c:v>
                </c:pt>
                <c:pt idx="4">
                  <c:v>548.63460873000338</c:v>
                </c:pt>
                <c:pt idx="5">
                  <c:v>1084.4452459681004</c:v>
                </c:pt>
                <c:pt idx="6">
                  <c:v>56831.732039911323</c:v>
                </c:pt>
                <c:pt idx="7">
                  <c:v>646.46683208766035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39626.966700901488</c:v>
                </c:pt>
                <c:pt idx="2">
                  <c:v>9067.2859651588224</c:v>
                </c:pt>
                <c:pt idx="3">
                  <c:v>349.69749691859698</c:v>
                </c:pt>
                <c:pt idx="4">
                  <c:v>548.63460873000338</c:v>
                </c:pt>
                <c:pt idx="5">
                  <c:v>1084.4452459681004</c:v>
                </c:pt>
                <c:pt idx="6">
                  <c:v>56831.732039911323</c:v>
                </c:pt>
                <c:pt idx="7">
                  <c:v>646.46683208766035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23096</v>
      </c>
      <c r="B6" s="398"/>
      <c r="C6" s="399"/>
    </row>
    <row r="7" spans="1:7" s="396" customFormat="1" ht="15.75" customHeight="1">
      <c r="A7" s="400" t="str">
        <f>txtMunicipality</f>
        <v>ZEMST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0.19719120179147936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0.19719120179147936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8815</v>
      </c>
      <c r="C9" s="338">
        <v>9417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1806</v>
      </c>
    </row>
    <row r="15" spans="1:6">
      <c r="A15" s="1295" t="s">
        <v>184</v>
      </c>
      <c r="B15" s="335">
        <v>6</v>
      </c>
    </row>
    <row r="16" spans="1:6">
      <c r="A16" s="1295" t="s">
        <v>6</v>
      </c>
      <c r="B16" s="335">
        <v>157</v>
      </c>
    </row>
    <row r="17" spans="1:6">
      <c r="A17" s="1295" t="s">
        <v>7</v>
      </c>
      <c r="B17" s="335">
        <v>333</v>
      </c>
    </row>
    <row r="18" spans="1:6">
      <c r="A18" s="1295" t="s">
        <v>8</v>
      </c>
      <c r="B18" s="335">
        <v>403</v>
      </c>
    </row>
    <row r="19" spans="1:6">
      <c r="A19" s="1295" t="s">
        <v>9</v>
      </c>
      <c r="B19" s="335">
        <v>467</v>
      </c>
    </row>
    <row r="20" spans="1:6">
      <c r="A20" s="1295" t="s">
        <v>10</v>
      </c>
      <c r="B20" s="335">
        <v>390</v>
      </c>
    </row>
    <row r="21" spans="1:6">
      <c r="A21" s="1295" t="s">
        <v>11</v>
      </c>
      <c r="B21" s="335">
        <v>0</v>
      </c>
    </row>
    <row r="22" spans="1:6">
      <c r="A22" s="1295" t="s">
        <v>12</v>
      </c>
      <c r="B22" s="335">
        <v>187</v>
      </c>
    </row>
    <row r="23" spans="1:6">
      <c r="A23" s="1295" t="s">
        <v>13</v>
      </c>
      <c r="B23" s="335">
        <v>0</v>
      </c>
    </row>
    <row r="24" spans="1:6">
      <c r="A24" s="1295" t="s">
        <v>14</v>
      </c>
      <c r="B24" s="335">
        <v>0</v>
      </c>
    </row>
    <row r="25" spans="1:6">
      <c r="A25" s="1295" t="s">
        <v>15</v>
      </c>
      <c r="B25" s="335">
        <v>0</v>
      </c>
    </row>
    <row r="26" spans="1:6">
      <c r="A26" s="1295" t="s">
        <v>16</v>
      </c>
      <c r="B26" s="335">
        <v>173</v>
      </c>
    </row>
    <row r="27" spans="1:6">
      <c r="A27" s="1295" t="s">
        <v>17</v>
      </c>
      <c r="B27" s="335">
        <v>0</v>
      </c>
    </row>
    <row r="28" spans="1:6" s="341" customFormat="1">
      <c r="A28" s="1296" t="s">
        <v>18</v>
      </c>
      <c r="B28" s="1296">
        <v>0</v>
      </c>
    </row>
    <row r="29" spans="1:6">
      <c r="A29" s="1296" t="s">
        <v>909</v>
      </c>
      <c r="B29" s="1296">
        <v>239</v>
      </c>
      <c r="C29" s="341"/>
      <c r="D29" s="341"/>
      <c r="E29" s="341"/>
      <c r="F29" s="341"/>
    </row>
    <row r="30" spans="1:6">
      <c r="A30" s="1291" t="s">
        <v>910</v>
      </c>
      <c r="B30" s="1291">
        <v>34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27833.759167615299</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3</v>
      </c>
      <c r="D38" s="335">
        <v>580566.18581227702</v>
      </c>
      <c r="E38" s="335">
        <v>3</v>
      </c>
      <c r="F38" s="335">
        <v>14477.6719889</v>
      </c>
    </row>
    <row r="39" spans="1:6">
      <c r="A39" s="1295" t="s">
        <v>30</v>
      </c>
      <c r="B39" s="1295" t="s">
        <v>31</v>
      </c>
      <c r="C39" s="335">
        <v>5472</v>
      </c>
      <c r="D39" s="335">
        <v>114341739.6586117</v>
      </c>
      <c r="E39" s="335">
        <v>8730</v>
      </c>
      <c r="F39" s="335">
        <v>40085627.790904798</v>
      </c>
    </row>
    <row r="40" spans="1:6">
      <c r="A40" s="1295" t="s">
        <v>30</v>
      </c>
      <c r="B40" s="1295" t="s">
        <v>29</v>
      </c>
      <c r="C40" s="335">
        <v>0</v>
      </c>
      <c r="D40" s="335">
        <v>0</v>
      </c>
      <c r="E40" s="335">
        <v>0</v>
      </c>
      <c r="F40" s="335">
        <v>0</v>
      </c>
    </row>
    <row r="41" spans="1:6">
      <c r="A41" s="1295" t="s">
        <v>32</v>
      </c>
      <c r="B41" s="1295" t="s">
        <v>33</v>
      </c>
      <c r="C41" s="335">
        <v>21</v>
      </c>
      <c r="D41" s="335">
        <v>553848.12461755099</v>
      </c>
      <c r="E41" s="335">
        <v>77</v>
      </c>
      <c r="F41" s="335">
        <v>612302.91709795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133046.36539997399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36</v>
      </c>
      <c r="D48" s="335">
        <v>1167484.9657574401</v>
      </c>
      <c r="E48" s="335">
        <v>58</v>
      </c>
      <c r="F48" s="335">
        <v>926004.87875792198</v>
      </c>
    </row>
    <row r="49" spans="1:6">
      <c r="A49" s="1295" t="s">
        <v>32</v>
      </c>
      <c r="B49" s="1295" t="s">
        <v>40</v>
      </c>
      <c r="C49" s="335">
        <v>0</v>
      </c>
      <c r="D49" s="335">
        <v>0</v>
      </c>
      <c r="E49" s="335">
        <v>0</v>
      </c>
      <c r="F49" s="335">
        <v>0</v>
      </c>
    </row>
    <row r="50" spans="1:6">
      <c r="A50" s="1295" t="s">
        <v>32</v>
      </c>
      <c r="B50" s="1295" t="s">
        <v>41</v>
      </c>
      <c r="C50" s="335">
        <v>4</v>
      </c>
      <c r="D50" s="335">
        <v>250667.15780677</v>
      </c>
      <c r="E50" s="335">
        <v>4</v>
      </c>
      <c r="F50" s="335">
        <v>274301.49127595301</v>
      </c>
    </row>
    <row r="51" spans="1:6">
      <c r="A51" s="1295" t="s">
        <v>42</v>
      </c>
      <c r="B51" s="1295" t="s">
        <v>43</v>
      </c>
      <c r="C51" s="335">
        <v>0</v>
      </c>
      <c r="D51" s="335">
        <v>0</v>
      </c>
      <c r="E51" s="335">
        <v>34</v>
      </c>
      <c r="F51" s="335">
        <v>334178.84594782401</v>
      </c>
    </row>
    <row r="52" spans="1:6">
      <c r="A52" s="1295" t="s">
        <v>42</v>
      </c>
      <c r="B52" s="1295" t="s">
        <v>29</v>
      </c>
      <c r="C52" s="335">
        <v>6</v>
      </c>
      <c r="D52" s="335">
        <v>311044.76906664303</v>
      </c>
      <c r="E52" s="335">
        <v>6</v>
      </c>
      <c r="F52" s="335">
        <v>84687.419202221601</v>
      </c>
    </row>
    <row r="53" spans="1:6">
      <c r="A53" s="1295" t="s">
        <v>44</v>
      </c>
      <c r="B53" s="1295" t="s">
        <v>45</v>
      </c>
      <c r="C53" s="335">
        <v>110</v>
      </c>
      <c r="D53" s="335">
        <v>3272068.0699654301</v>
      </c>
      <c r="E53" s="335">
        <v>222</v>
      </c>
      <c r="F53" s="335">
        <v>1209555.83404073</v>
      </c>
    </row>
    <row r="54" spans="1:6">
      <c r="A54" s="1295" t="s">
        <v>46</v>
      </c>
      <c r="B54" s="1295" t="s">
        <v>47</v>
      </c>
      <c r="C54" s="335">
        <v>0</v>
      </c>
      <c r="D54" s="335">
        <v>0</v>
      </c>
      <c r="E54" s="335">
        <v>1</v>
      </c>
      <c r="F54" s="335">
        <v>1773393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30</v>
      </c>
      <c r="D57" s="335">
        <v>961980.29165226396</v>
      </c>
      <c r="E57" s="335">
        <v>119</v>
      </c>
      <c r="F57" s="335">
        <v>1883247.0164061701</v>
      </c>
    </row>
    <row r="58" spans="1:6">
      <c r="A58" s="1295" t="s">
        <v>49</v>
      </c>
      <c r="B58" s="1295" t="s">
        <v>51</v>
      </c>
      <c r="C58" s="335">
        <v>3</v>
      </c>
      <c r="D58" s="335">
        <v>86663.690924388007</v>
      </c>
      <c r="E58" s="335">
        <v>24</v>
      </c>
      <c r="F58" s="335">
        <v>196097.34542980901</v>
      </c>
    </row>
    <row r="59" spans="1:6">
      <c r="A59" s="1295" t="s">
        <v>49</v>
      </c>
      <c r="B59" s="1295" t="s">
        <v>52</v>
      </c>
      <c r="C59" s="335">
        <v>19</v>
      </c>
      <c r="D59" s="335">
        <v>893763.27670812595</v>
      </c>
      <c r="E59" s="335">
        <v>81</v>
      </c>
      <c r="F59" s="335">
        <v>3813953.82323698</v>
      </c>
    </row>
    <row r="60" spans="1:6">
      <c r="A60" s="1295" t="s">
        <v>49</v>
      </c>
      <c r="B60" s="1295" t="s">
        <v>53</v>
      </c>
      <c r="C60" s="335">
        <v>49</v>
      </c>
      <c r="D60" s="335">
        <v>2454046.7178490302</v>
      </c>
      <c r="E60" s="335">
        <v>66</v>
      </c>
      <c r="F60" s="335">
        <v>1363238.9830685901</v>
      </c>
    </row>
    <row r="61" spans="1:6">
      <c r="A61" s="1295" t="s">
        <v>49</v>
      </c>
      <c r="B61" s="1295" t="s">
        <v>54</v>
      </c>
      <c r="C61" s="335">
        <v>96</v>
      </c>
      <c r="D61" s="335">
        <v>7648351.9676397303</v>
      </c>
      <c r="E61" s="335">
        <v>190</v>
      </c>
      <c r="F61" s="335">
        <v>7763573.1284459103</v>
      </c>
    </row>
    <row r="62" spans="1:6">
      <c r="A62" s="1295" t="s">
        <v>49</v>
      </c>
      <c r="B62" s="1295" t="s">
        <v>55</v>
      </c>
      <c r="C62" s="335">
        <v>3</v>
      </c>
      <c r="D62" s="335">
        <v>194765.29466810601</v>
      </c>
      <c r="E62" s="335">
        <v>0</v>
      </c>
      <c r="F62" s="335">
        <v>0</v>
      </c>
    </row>
    <row r="63" spans="1:6">
      <c r="A63" s="1295" t="s">
        <v>49</v>
      </c>
      <c r="B63" s="1295" t="s">
        <v>29</v>
      </c>
      <c r="C63" s="335">
        <v>183</v>
      </c>
      <c r="D63" s="335">
        <v>9246643.2671800591</v>
      </c>
      <c r="E63" s="335">
        <v>228</v>
      </c>
      <c r="F63" s="335">
        <v>5520354.8924749801</v>
      </c>
    </row>
    <row r="64" spans="1:6">
      <c r="A64" s="1295" t="s">
        <v>56</v>
      </c>
      <c r="B64" s="1295" t="s">
        <v>57</v>
      </c>
      <c r="C64" s="335">
        <v>0</v>
      </c>
      <c r="D64" s="335">
        <v>0</v>
      </c>
      <c r="E64" s="335">
        <v>0</v>
      </c>
      <c r="F64" s="335">
        <v>0</v>
      </c>
    </row>
    <row r="65" spans="1:6">
      <c r="A65" s="1295" t="s">
        <v>56</v>
      </c>
      <c r="B65" s="1295" t="s">
        <v>29</v>
      </c>
      <c r="C65" s="335">
        <v>2</v>
      </c>
      <c r="D65" s="335">
        <v>662053.17000167095</v>
      </c>
      <c r="E65" s="335">
        <v>1</v>
      </c>
      <c r="F65" s="335">
        <v>12203.2407851402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57570.121893727803</v>
      </c>
      <c r="E68" s="335">
        <v>22</v>
      </c>
      <c r="F68" s="335">
        <v>499598.85478911898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54598133</v>
      </c>
      <c r="E73" s="335">
        <v>86673469.377184808</v>
      </c>
    </row>
    <row r="74" spans="1:6">
      <c r="A74" s="1295" t="s">
        <v>64</v>
      </c>
      <c r="B74" s="1295" t="s">
        <v>727</v>
      </c>
      <c r="C74" s="1295" t="s">
        <v>728</v>
      </c>
      <c r="D74" s="335">
        <v>3333324.1443559993</v>
      </c>
      <c r="E74" s="335">
        <v>5655540.0218653874</v>
      </c>
    </row>
    <row r="75" spans="1:6">
      <c r="A75" s="1295" t="s">
        <v>65</v>
      </c>
      <c r="B75" s="1295" t="s">
        <v>725</v>
      </c>
      <c r="C75" s="1295" t="s">
        <v>729</v>
      </c>
      <c r="D75" s="335">
        <v>17758872</v>
      </c>
      <c r="E75" s="335">
        <v>29627922.900965042</v>
      </c>
    </row>
    <row r="76" spans="1:6">
      <c r="A76" s="1295" t="s">
        <v>65</v>
      </c>
      <c r="B76" s="1295" t="s">
        <v>727</v>
      </c>
      <c r="C76" s="1295" t="s">
        <v>730</v>
      </c>
      <c r="D76" s="335">
        <v>609474.14435599931</v>
      </c>
      <c r="E76" s="335">
        <v>1284712.8698444942</v>
      </c>
    </row>
    <row r="77" spans="1:6">
      <c r="A77" s="1295" t="s">
        <v>66</v>
      </c>
      <c r="B77" s="1295" t="s">
        <v>725</v>
      </c>
      <c r="C77" s="1295" t="s">
        <v>731</v>
      </c>
      <c r="D77" s="335">
        <v>161746573</v>
      </c>
      <c r="E77" s="335">
        <v>177176236.44675717</v>
      </c>
    </row>
    <row r="78" spans="1:6">
      <c r="A78" s="1291" t="s">
        <v>66</v>
      </c>
      <c r="B78" s="1291" t="s">
        <v>727</v>
      </c>
      <c r="C78" s="1291" t="s">
        <v>732</v>
      </c>
      <c r="D78" s="1291">
        <v>21465686</v>
      </c>
      <c r="E78" s="1291">
        <v>22543177.293795493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668105.71128800127</v>
      </c>
      <c r="C83" s="335">
        <v>662253.56129585998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3787.3670000000002</v>
      </c>
    </row>
    <row r="92" spans="1:6">
      <c r="A92" s="1291" t="s">
        <v>69</v>
      </c>
      <c r="B92" s="338">
        <v>3729.5030000000002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3060</v>
      </c>
    </row>
    <row r="98" spans="1:6">
      <c r="A98" s="1295" t="s">
        <v>72</v>
      </c>
      <c r="B98" s="335">
        <v>13</v>
      </c>
    </row>
    <row r="99" spans="1:6">
      <c r="A99" s="1295" t="s">
        <v>73</v>
      </c>
      <c r="B99" s="335">
        <v>123</v>
      </c>
    </row>
    <row r="100" spans="1:6">
      <c r="A100" s="1295" t="s">
        <v>74</v>
      </c>
      <c r="B100" s="335">
        <v>729</v>
      </c>
    </row>
    <row r="101" spans="1:6">
      <c r="A101" s="1295" t="s">
        <v>75</v>
      </c>
      <c r="B101" s="335">
        <v>87</v>
      </c>
    </row>
    <row r="102" spans="1:6">
      <c r="A102" s="1295" t="s">
        <v>76</v>
      </c>
      <c r="B102" s="335">
        <v>90</v>
      </c>
    </row>
    <row r="103" spans="1:6">
      <c r="A103" s="1295" t="s">
        <v>77</v>
      </c>
      <c r="B103" s="335">
        <v>198</v>
      </c>
    </row>
    <row r="104" spans="1:6">
      <c r="A104" s="1295" t="s">
        <v>78</v>
      </c>
      <c r="B104" s="335">
        <v>3490</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42</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126</v>
      </c>
    </row>
    <row r="130" spans="1:6">
      <c r="A130" s="1295" t="s">
        <v>295</v>
      </c>
      <c r="B130" s="335">
        <v>1</v>
      </c>
    </row>
    <row r="131" spans="1:6">
      <c r="A131" s="1295" t="s">
        <v>296</v>
      </c>
      <c r="B131" s="335">
        <v>1</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69773.713710819837</v>
      </c>
      <c r="C3" s="43" t="s">
        <v>170</v>
      </c>
      <c r="D3" s="43"/>
      <c r="E3" s="156"/>
      <c r="F3" s="43"/>
      <c r="G3" s="43"/>
      <c r="H3" s="43"/>
      <c r="I3" s="43"/>
      <c r="J3" s="43"/>
      <c r="K3" s="96"/>
    </row>
    <row r="4" spans="1:11">
      <c r="A4" s="366" t="s">
        <v>171</v>
      </c>
      <c r="B4" s="49">
        <f>IF(ISERROR('SEAP template'!B78+'SEAP template'!C78),0,'SEAP template'!B78+'SEAP template'!C78)</f>
        <v>7516.8700000000008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0.19719120179147936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1773.393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1773.393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0.19719120179147936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349.69749691859698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40085.6277909048</v>
      </c>
      <c r="C5" s="17">
        <f>IF(ISERROR('Eigen informatie GS &amp; warmtenet'!B57),0,'Eigen informatie GS &amp; warmtenet'!B57)</f>
        <v>0</v>
      </c>
      <c r="D5" s="30">
        <f>(SUM(HH_hh_gas_kWh,HH_rest_gas_kWh)/1000)*0.902</f>
        <v>103136.24917206775</v>
      </c>
      <c r="E5" s="17">
        <f>B46*B57</f>
        <v>5442.1556464746936</v>
      </c>
      <c r="F5" s="17">
        <f>B51*B62</f>
        <v>33358.45118870493</v>
      </c>
      <c r="G5" s="18"/>
      <c r="H5" s="17"/>
      <c r="I5" s="17"/>
      <c r="J5" s="17">
        <f>B50*B61+C50*C61</f>
        <v>0</v>
      </c>
      <c r="K5" s="17"/>
      <c r="L5" s="17"/>
      <c r="M5" s="17"/>
      <c r="N5" s="17">
        <f>B48*B59+C48*C59</f>
        <v>14430.857118923646</v>
      </c>
      <c r="O5" s="17">
        <f>B69*B70*B71</f>
        <v>264.20333333333338</v>
      </c>
      <c r="P5" s="17">
        <f>B77*B78*B79/1000-B77*B78*B79/1000/B80</f>
        <v>572</v>
      </c>
    </row>
    <row r="6" spans="1:16">
      <c r="A6" s="16" t="s">
        <v>634</v>
      </c>
      <c r="B6" s="783">
        <f>kWh_PV_kleiner_dan_10kW</f>
        <v>3787.3670000000002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43872.994790904799</v>
      </c>
      <c r="C8" s="21">
        <f>C5</f>
        <v>0</v>
      </c>
      <c r="D8" s="21">
        <f>D5</f>
        <v>103136.24917206775</v>
      </c>
      <c r="E8" s="21">
        <f>E5</f>
        <v>5442.1556464746936</v>
      </c>
      <c r="F8" s="21">
        <f>F5</f>
        <v>33358.45118870493</v>
      </c>
      <c r="G8" s="21"/>
      <c r="H8" s="21"/>
      <c r="I8" s="21"/>
      <c r="J8" s="21">
        <f>J5</f>
        <v>0</v>
      </c>
      <c r="K8" s="21"/>
      <c r="L8" s="21">
        <f>L5</f>
        <v>0</v>
      </c>
      <c r="M8" s="21">
        <f>M5</f>
        <v>0</v>
      </c>
      <c r="N8" s="21">
        <f>N5</f>
        <v>14430.857118923646</v>
      </c>
      <c r="O8" s="21">
        <f>O5</f>
        <v>264.20333333333338</v>
      </c>
      <c r="P8" s="21">
        <f>P5</f>
        <v>572</v>
      </c>
    </row>
    <row r="9" spans="1:16">
      <c r="B9" s="19"/>
      <c r="C9" s="19"/>
      <c r="D9" s="261"/>
      <c r="E9" s="19"/>
      <c r="F9" s="19"/>
      <c r="G9" s="19"/>
      <c r="H9" s="19"/>
      <c r="I9" s="19"/>
      <c r="J9" s="19"/>
      <c r="K9" s="19"/>
      <c r="L9" s="19"/>
      <c r="M9" s="19"/>
      <c r="N9" s="19"/>
      <c r="O9" s="19"/>
      <c r="P9" s="19"/>
    </row>
    <row r="10" spans="1:16">
      <c r="A10" s="24" t="s">
        <v>214</v>
      </c>
      <c r="B10" s="25">
        <f ca="1">'EF ele_warmte'!B12</f>
        <v>0.19719120179147936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8651.3685690098318</v>
      </c>
      <c r="C12" s="23">
        <f ca="1">C10*C8</f>
        <v>0</v>
      </c>
      <c r="D12" s="23">
        <f>D8*D10</f>
        <v>20833.522332757686</v>
      </c>
      <c r="E12" s="23">
        <f>E10*E8</f>
        <v>1235.3693317497555</v>
      </c>
      <c r="F12" s="23">
        <f>F10*F8</f>
        <v>8906.706467384216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3060</v>
      </c>
      <c r="C18" s="168" t="s">
        <v>111</v>
      </c>
      <c r="D18" s="230"/>
      <c r="E18" s="15"/>
    </row>
    <row r="19" spans="1:7">
      <c r="A19" s="173" t="s">
        <v>72</v>
      </c>
      <c r="B19" s="37">
        <f>aantalw2001_ander</f>
        <v>13</v>
      </c>
      <c r="C19" s="168" t="s">
        <v>111</v>
      </c>
      <c r="D19" s="231"/>
      <c r="E19" s="15"/>
    </row>
    <row r="20" spans="1:7">
      <c r="A20" s="173" t="s">
        <v>73</v>
      </c>
      <c r="B20" s="37">
        <f>aantalw2001_propaan</f>
        <v>123</v>
      </c>
      <c r="C20" s="169">
        <f>IF(ISERROR(B20/SUM($B$20,$B$21,$B$22)*100),0,B20/SUM($B$20,$B$21,$B$22)*100)</f>
        <v>13.099041533546327</v>
      </c>
      <c r="D20" s="231"/>
      <c r="E20" s="15"/>
    </row>
    <row r="21" spans="1:7">
      <c r="A21" s="173" t="s">
        <v>74</v>
      </c>
      <c r="B21" s="37">
        <f>aantalw2001_elektriciteit</f>
        <v>729</v>
      </c>
      <c r="C21" s="169">
        <f>IF(ISERROR(B21/SUM($B$20,$B$21,$B$22)*100),0,B21/SUM($B$20,$B$21,$B$22)*100)</f>
        <v>77.635782747603827</v>
      </c>
      <c r="D21" s="231"/>
      <c r="E21" s="15"/>
    </row>
    <row r="22" spans="1:7">
      <c r="A22" s="173" t="s">
        <v>75</v>
      </c>
      <c r="B22" s="37">
        <f>aantalw2001_hout</f>
        <v>87</v>
      </c>
      <c r="C22" s="169">
        <f>IF(ISERROR(B22/SUM($B$20,$B$21,$B$22)*100),0,B22/SUM($B$20,$B$21,$B$22)*100)</f>
        <v>9.2651757188498394</v>
      </c>
      <c r="D22" s="231"/>
      <c r="E22" s="15"/>
    </row>
    <row r="23" spans="1:7">
      <c r="A23" s="173" t="s">
        <v>76</v>
      </c>
      <c r="B23" s="37">
        <f>aantalw2001_niet_gespec</f>
        <v>90</v>
      </c>
      <c r="C23" s="168" t="s">
        <v>111</v>
      </c>
      <c r="D23" s="230"/>
      <c r="E23" s="15"/>
    </row>
    <row r="24" spans="1:7">
      <c r="A24" s="173" t="s">
        <v>77</v>
      </c>
      <c r="B24" s="37">
        <f>aantalw2001_steenkool</f>
        <v>198</v>
      </c>
      <c r="C24" s="168" t="s">
        <v>111</v>
      </c>
      <c r="D24" s="231"/>
      <c r="E24" s="15"/>
    </row>
    <row r="25" spans="1:7">
      <c r="A25" s="173" t="s">
        <v>78</v>
      </c>
      <c r="B25" s="37">
        <f>aantalw2001_stookolie</f>
        <v>3490</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8815</v>
      </c>
      <c r="C28" s="36"/>
      <c r="D28" s="230"/>
    </row>
    <row r="29" spans="1:7" s="15" customFormat="1">
      <c r="A29" s="232" t="s">
        <v>746</v>
      </c>
      <c r="B29" s="37">
        <f>SUM(HH_hh_gas_aantal,HH_rest_gas_aantal)</f>
        <v>5472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5472</v>
      </c>
      <c r="C32" s="169">
        <f>IF(ISERROR(B32/SUM($B$32,$B$34,$B$35,$B$36,$B$38,$B$39)*100),0,B32/SUM($B$32,$B$34,$B$35,$B$36,$B$38,$B$39)*100)</f>
        <v>62.287990893568576</v>
      </c>
      <c r="D32" s="235"/>
      <c r="G32" s="15"/>
    </row>
    <row r="33" spans="1:7">
      <c r="A33" s="173" t="s">
        <v>72</v>
      </c>
      <c r="B33" s="34" t="s">
        <v>111</v>
      </c>
      <c r="C33" s="169"/>
      <c r="D33" s="235"/>
      <c r="G33" s="15"/>
    </row>
    <row r="34" spans="1:7">
      <c r="A34" s="173" t="s">
        <v>73</v>
      </c>
      <c r="B34" s="33">
        <f>IF((($B$28-$B$32-$B$39-$B$77-$B$38)*C20/100)&lt;0,0,($B$28-$B$32-$B$39-$B$77-$B$38)*C20/100)</f>
        <v>261.16869009584667</v>
      </c>
      <c r="C34" s="169">
        <f>IF(ISERROR(B34/SUM($B$32,$B$34,$B$35,$B$36,$B$38,$B$39)*100),0,B34/SUM($B$32,$B$34,$B$35,$B$36,$B$38,$B$39)*100)</f>
        <v>2.9728934558434452</v>
      </c>
      <c r="D34" s="235"/>
      <c r="G34" s="15"/>
    </row>
    <row r="35" spans="1:7">
      <c r="A35" s="173" t="s">
        <v>74</v>
      </c>
      <c r="B35" s="33">
        <f>IF((($B$28-$B$32-$B$39-$B$77-$B$38)*C21/100)&lt;0,0,($B$28-$B$32-$B$39-$B$77-$B$38)*C21/100)</f>
        <v>1547.9022364217253</v>
      </c>
      <c r="C35" s="169">
        <f>IF(ISERROR(B35/SUM($B$32,$B$34,$B$35,$B$36,$B$38,$B$39)*100),0,B35/SUM($B$32,$B$34,$B$35,$B$36,$B$38,$B$39)*100)</f>
        <v>17.619831945608709</v>
      </c>
      <c r="D35" s="235"/>
      <c r="G35" s="15"/>
    </row>
    <row r="36" spans="1:7">
      <c r="A36" s="173" t="s">
        <v>75</v>
      </c>
      <c r="B36" s="33">
        <f>IF((($B$28-$B$32-$B$39-$B$77-$B$38)*C22/100)&lt;0,0,($B$28-$B$32-$B$39-$B$77-$B$38)*C22/100)</f>
        <v>184.72907348242811</v>
      </c>
      <c r="C36" s="169">
        <f>IF(ISERROR(B36/SUM($B$32,$B$34,$B$35,$B$36,$B$38,$B$39)*100),0,B36/SUM($B$32,$B$34,$B$35,$B$36,$B$38,$B$39)*100)</f>
        <v>2.1027782980356071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1319.1999999999998</v>
      </c>
      <c r="C39" s="169">
        <f>IF(ISERROR(B39/SUM($B$32,$B$34,$B$35,$B$36,$B$38,$B$39)*100),0,B39/SUM($B$32,$B$34,$B$35,$B$36,$B$38,$B$39)*100)</f>
        <v>15.016505406943653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5472</v>
      </c>
      <c r="C44" s="34" t="s">
        <v>111</v>
      </c>
      <c r="D44" s="176"/>
    </row>
    <row r="45" spans="1:7">
      <c r="A45" s="173" t="s">
        <v>72</v>
      </c>
      <c r="B45" s="33" t="str">
        <f t="shared" si="0"/>
        <v>-</v>
      </c>
      <c r="C45" s="34" t="s">
        <v>111</v>
      </c>
      <c r="D45" s="176"/>
    </row>
    <row r="46" spans="1:7">
      <c r="A46" s="173" t="s">
        <v>73</v>
      </c>
      <c r="B46" s="33">
        <f t="shared" si="0"/>
        <v>261.16869009584667</v>
      </c>
      <c r="C46" s="34" t="s">
        <v>111</v>
      </c>
      <c r="D46" s="176"/>
    </row>
    <row r="47" spans="1:7">
      <c r="A47" s="173" t="s">
        <v>74</v>
      </c>
      <c r="B47" s="33">
        <f t="shared" si="0"/>
        <v>1547.9022364217253</v>
      </c>
      <c r="C47" s="34" t="s">
        <v>111</v>
      </c>
      <c r="D47" s="176"/>
    </row>
    <row r="48" spans="1:7">
      <c r="A48" s="173" t="s">
        <v>75</v>
      </c>
      <c r="B48" s="33">
        <f t="shared" si="0"/>
        <v>184.72907348242811</v>
      </c>
      <c r="C48" s="33">
        <f>B48*10</f>
        <v>1847.2907348242811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1319.1999999999998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20540.465189062441</v>
      </c>
      <c r="C5" s="17">
        <f>IF(ISERROR('Eigen informatie GS &amp; warmtenet'!B58),0,'Eigen informatie GS &amp; warmtenet'!B58)</f>
        <v>0</v>
      </c>
      <c r="D5" s="30">
        <f>SUM(D6:D12)</f>
        <v>19380.56548497278</v>
      </c>
      <c r="E5" s="17">
        <f>SUM(E6:E12)</f>
        <v>237.75616546982781</v>
      </c>
      <c r="F5" s="17">
        <f>SUM(F6:F12)</f>
        <v>3925.2512046644206</v>
      </c>
      <c r="G5" s="18"/>
      <c r="H5" s="17"/>
      <c r="I5" s="17"/>
      <c r="J5" s="17">
        <f>SUM(J6:J12)</f>
        <v>0</v>
      </c>
      <c r="K5" s="17"/>
      <c r="L5" s="17"/>
      <c r="M5" s="17"/>
      <c r="N5" s="17">
        <f>SUM(N6:N12)</f>
        <v>1767.1721146298571</v>
      </c>
      <c r="O5" s="17">
        <f>B38*B39*B40</f>
        <v>1.5633333333333335</v>
      </c>
      <c r="P5" s="17">
        <f>B46*B47*B48/1000-B46*B47*B48/1000/B49</f>
        <v>19.066666666666666</v>
      </c>
      <c r="R5" s="32"/>
    </row>
    <row r="6" spans="1:18">
      <c r="A6" s="32" t="s">
        <v>54</v>
      </c>
      <c r="B6" s="37">
        <f>B26</f>
        <v>7763.5731284459107</v>
      </c>
      <c r="C6" s="33"/>
      <c r="D6" s="37">
        <f>IF(ISERROR(TER_kantoor_gas_kWh/1000),0,TER_kantoor_gas_kWh/1000)*0.902</f>
        <v>6898.8134748110369</v>
      </c>
      <c r="E6" s="33">
        <f>$C$26*'E Balans VL '!I12/100/3.6*1000000</f>
        <v>30.163125248210328</v>
      </c>
      <c r="F6" s="33">
        <f>$C$26*('E Balans VL '!L12+'E Balans VL '!N12)/100/3.6*1000000</f>
        <v>1180.7688299532936</v>
      </c>
      <c r="G6" s="34"/>
      <c r="H6" s="33"/>
      <c r="I6" s="33"/>
      <c r="J6" s="33">
        <f>$C$26*('E Balans VL '!D12+'E Balans VL '!E12)/100/3.6*1000000</f>
        <v>0</v>
      </c>
      <c r="K6" s="33"/>
      <c r="L6" s="33"/>
      <c r="M6" s="33"/>
      <c r="N6" s="33">
        <f>$C$26*'E Balans VL '!Y12/100/3.6*1000000</f>
        <v>4.2786588469301199</v>
      </c>
      <c r="O6" s="33"/>
      <c r="P6" s="33"/>
      <c r="R6" s="32"/>
    </row>
    <row r="7" spans="1:18">
      <c r="A7" s="32" t="s">
        <v>53</v>
      </c>
      <c r="B7" s="37">
        <f t="shared" ref="B7:B12" si="0">B27</f>
        <v>1363.23898306859</v>
      </c>
      <c r="C7" s="33"/>
      <c r="D7" s="37">
        <f>IF(ISERROR(TER_horeca_gas_kWh/1000),0,TER_horeca_gas_kWh/1000)*0.902</f>
        <v>2213.5501394998255</v>
      </c>
      <c r="E7" s="33">
        <f>$C$27*'E Balans VL '!I9/100/3.6*1000000</f>
        <v>76.791616385971494</v>
      </c>
      <c r="F7" s="33">
        <f>$C$27*('E Balans VL '!L9+'E Balans VL '!N9)/100/3.6*1000000</f>
        <v>393.0765072651626</v>
      </c>
      <c r="G7" s="34"/>
      <c r="H7" s="33"/>
      <c r="I7" s="33"/>
      <c r="J7" s="33">
        <f>$C$27*('E Balans VL '!D9+'E Balans VL '!E9)/100/3.6*1000000</f>
        <v>0</v>
      </c>
      <c r="K7" s="33"/>
      <c r="L7" s="33"/>
      <c r="M7" s="33"/>
      <c r="N7" s="33">
        <f>$C$27*'E Balans VL '!Y9/100/3.6*1000000</f>
        <v>0.37638319916896457</v>
      </c>
      <c r="O7" s="33"/>
      <c r="P7" s="33"/>
      <c r="R7" s="32"/>
    </row>
    <row r="8" spans="1:18">
      <c r="A8" s="6" t="s">
        <v>52</v>
      </c>
      <c r="B8" s="37">
        <f t="shared" si="0"/>
        <v>3813.95382323698</v>
      </c>
      <c r="C8" s="33"/>
      <c r="D8" s="37">
        <f>IF(ISERROR(TER_handel_gas_kWh/1000),0,TER_handel_gas_kWh/1000)*0.902</f>
        <v>806.17447559072968</v>
      </c>
      <c r="E8" s="33">
        <f>$C$28*'E Balans VL '!I13/100/3.6*1000000</f>
        <v>54.972014051005786</v>
      </c>
      <c r="F8" s="33">
        <f>$C$28*('E Balans VL '!L13+'E Balans VL '!N13)/100/3.6*1000000</f>
        <v>662.57260008726814</v>
      </c>
      <c r="G8" s="34"/>
      <c r="H8" s="33"/>
      <c r="I8" s="33"/>
      <c r="J8" s="33">
        <f>$C$28*('E Balans VL '!D13+'E Balans VL '!E13)/100/3.6*1000000</f>
        <v>0</v>
      </c>
      <c r="K8" s="33"/>
      <c r="L8" s="33"/>
      <c r="M8" s="33"/>
      <c r="N8" s="33">
        <f>$C$28*'E Balans VL '!Y13/100/3.6*1000000</f>
        <v>11.42703023250397</v>
      </c>
      <c r="O8" s="33"/>
      <c r="P8" s="33"/>
      <c r="R8" s="32"/>
    </row>
    <row r="9" spans="1:18">
      <c r="A9" s="32" t="s">
        <v>51</v>
      </c>
      <c r="B9" s="37">
        <f t="shared" si="0"/>
        <v>196.097345429809</v>
      </c>
      <c r="C9" s="33"/>
      <c r="D9" s="37">
        <f>IF(ISERROR(TER_gezond_gas_kWh/1000),0,TER_gezond_gas_kWh/1000)*0.902</f>
        <v>78.170649213797986</v>
      </c>
      <c r="E9" s="33">
        <f>$C$29*'E Balans VL '!I10/100/3.6*1000000</f>
        <v>0.20948279148442492</v>
      </c>
      <c r="F9" s="33">
        <f>$C$29*('E Balans VL '!L10+'E Balans VL '!N10)/100/3.6*1000000</f>
        <v>31.989436661565698</v>
      </c>
      <c r="G9" s="34"/>
      <c r="H9" s="33"/>
      <c r="I9" s="33"/>
      <c r="J9" s="33">
        <f>$C$29*('E Balans VL '!D10+'E Balans VL '!E10)/100/3.6*1000000</f>
        <v>0</v>
      </c>
      <c r="K9" s="33"/>
      <c r="L9" s="33"/>
      <c r="M9" s="33"/>
      <c r="N9" s="33">
        <f>$C$29*'E Balans VL '!Y10/100/3.6*1000000</f>
        <v>2.0187102802868391</v>
      </c>
      <c r="O9" s="33"/>
      <c r="P9" s="33"/>
      <c r="R9" s="32"/>
    </row>
    <row r="10" spans="1:18">
      <c r="A10" s="32" t="s">
        <v>50</v>
      </c>
      <c r="B10" s="37">
        <f t="shared" si="0"/>
        <v>1883.2470164061701</v>
      </c>
      <c r="C10" s="33"/>
      <c r="D10" s="37">
        <f>IF(ISERROR(TER_ander_gas_kWh/1000),0,TER_ander_gas_kWh/1000)*0.902</f>
        <v>867.70622307034216</v>
      </c>
      <c r="E10" s="33">
        <f>$C$30*'E Balans VL '!I14/100/3.6*1000000</f>
        <v>8.6607665653155816</v>
      </c>
      <c r="F10" s="33">
        <f>$C$30*('E Balans VL '!L14+'E Balans VL '!N14)/100/3.6*1000000</f>
        <v>564.46853376686283</v>
      </c>
      <c r="G10" s="34"/>
      <c r="H10" s="33"/>
      <c r="I10" s="33"/>
      <c r="J10" s="33">
        <f>$C$30*('E Balans VL '!D14+'E Balans VL '!E14)/100/3.6*1000000</f>
        <v>0</v>
      </c>
      <c r="K10" s="33"/>
      <c r="L10" s="33"/>
      <c r="M10" s="33"/>
      <c r="N10" s="33">
        <f>$C$30*'E Balans VL '!Y14/100/3.6*1000000</f>
        <v>1310.8642380018725</v>
      </c>
      <c r="O10" s="33"/>
      <c r="P10" s="33"/>
      <c r="R10" s="32"/>
    </row>
    <row r="11" spans="1:18">
      <c r="A11" s="32" t="s">
        <v>55</v>
      </c>
      <c r="B11" s="37">
        <f t="shared" si="0"/>
        <v>0</v>
      </c>
      <c r="C11" s="33"/>
      <c r="D11" s="37">
        <f>IF(ISERROR(TER_onderwijs_gas_kWh/1000),0,TER_onderwijs_gas_kWh/1000)*0.902</f>
        <v>175.67829579063164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5520.3548924749803</v>
      </c>
      <c r="C12" s="33"/>
      <c r="D12" s="37">
        <f>IF(ISERROR(TER_rest_gas_kWh/1000),0,TER_rest_gas_kWh/1000)*0.902</f>
        <v>8340.4722269964132</v>
      </c>
      <c r="E12" s="33">
        <f>$C$32*'E Balans VL '!I8/100/3.6*1000000</f>
        <v>66.959160427840175</v>
      </c>
      <c r="F12" s="33">
        <f>$C$32*('E Balans VL '!L8+'E Balans VL '!N8)/100/3.6*1000000</f>
        <v>1092.3752969302673</v>
      </c>
      <c r="G12" s="34"/>
      <c r="H12" s="33"/>
      <c r="I12" s="33"/>
      <c r="J12" s="33">
        <f>$C$32*('E Balans VL '!D8+'E Balans VL '!E8)/100/3.6*1000000</f>
        <v>0</v>
      </c>
      <c r="K12" s="33"/>
      <c r="L12" s="33"/>
      <c r="M12" s="33"/>
      <c r="N12" s="33">
        <f>$C$32*'E Balans VL '!Y8/100/3.6*1000000</f>
        <v>438.20709406909464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20540.465189062441</v>
      </c>
      <c r="C16" s="21">
        <f t="shared" ca="1" si="1"/>
        <v>0</v>
      </c>
      <c r="D16" s="21">
        <f t="shared" ca="1" si="1"/>
        <v>19380.56548497278</v>
      </c>
      <c r="E16" s="21">
        <f t="shared" si="1"/>
        <v>237.75616546982781</v>
      </c>
      <c r="F16" s="21">
        <f t="shared" ca="1" si="1"/>
        <v>3925.2512046644206</v>
      </c>
      <c r="G16" s="21">
        <f t="shared" si="1"/>
        <v>0</v>
      </c>
      <c r="H16" s="21">
        <f t="shared" si="1"/>
        <v>0</v>
      </c>
      <c r="I16" s="21">
        <f t="shared" si="1"/>
        <v>0</v>
      </c>
      <c r="J16" s="21">
        <f t="shared" si="1"/>
        <v>0</v>
      </c>
      <c r="K16" s="21">
        <f t="shared" si="1"/>
        <v>0</v>
      </c>
      <c r="L16" s="21">
        <f t="shared" ca="1" si="1"/>
        <v>0</v>
      </c>
      <c r="M16" s="21">
        <f t="shared" si="1"/>
        <v>0</v>
      </c>
      <c r="N16" s="21">
        <f t="shared" ca="1" si="1"/>
        <v>1767.1721146298571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0.19719120179147936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4050.3990159872692</v>
      </c>
      <c r="C20" s="23">
        <f t="shared" ref="C20:P20" ca="1" si="2">C16*C18</f>
        <v>0</v>
      </c>
      <c r="D20" s="23">
        <f t="shared" ca="1" si="2"/>
        <v>3914.8742279645016</v>
      </c>
      <c r="E20" s="23">
        <f t="shared" si="2"/>
        <v>53.970649561650916</v>
      </c>
      <c r="F20" s="23">
        <f t="shared" ca="1" si="2"/>
        <v>1048.0420716454003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7763.5731284459107</v>
      </c>
      <c r="C26" s="39">
        <f>IF(ISERROR(B26*3.6/1000000/'E Balans VL '!Z12*100),0,B26*3.6/1000000/'E Balans VL '!Z12*100)</f>
        <v>0.16490213882240118</v>
      </c>
      <c r="D26" s="239" t="s">
        <v>692</v>
      </c>
      <c r="F26" s="6"/>
    </row>
    <row r="27" spans="1:18">
      <c r="A27" s="233" t="s">
        <v>53</v>
      </c>
      <c r="B27" s="33">
        <f>IF(ISERROR(TER_horeca_ele_kWh/1000),0,TER_horeca_ele_kWh/1000)</f>
        <v>1363.23898306859</v>
      </c>
      <c r="C27" s="39">
        <f>IF(ISERROR(B27*3.6/1000000/'E Balans VL '!Z9*100),0,B27*3.6/1000000/'E Balans VL '!Z9*100)</f>
        <v>0.10600013316572562</v>
      </c>
      <c r="D27" s="239" t="s">
        <v>692</v>
      </c>
      <c r="F27" s="6"/>
    </row>
    <row r="28" spans="1:18">
      <c r="A28" s="173" t="s">
        <v>52</v>
      </c>
      <c r="B28" s="33">
        <f>IF(ISERROR(TER_handel_ele_kWh/1000),0,TER_handel_ele_kWh/1000)</f>
        <v>3813.95382323698</v>
      </c>
      <c r="C28" s="39">
        <f>IF(ISERROR(B28*3.6/1000000/'E Balans VL '!Z13*100),0,B28*3.6/1000000/'E Balans VL '!Z13*100)</f>
        <v>0.10912170745744504</v>
      </c>
      <c r="D28" s="239" t="s">
        <v>692</v>
      </c>
      <c r="F28" s="6"/>
    </row>
    <row r="29" spans="1:18">
      <c r="A29" s="233" t="s">
        <v>51</v>
      </c>
      <c r="B29" s="33">
        <f>IF(ISERROR(TER_gezond_ele_kWh/1000),0,TER_gezond_ele_kWh/1000)</f>
        <v>196.097345429809</v>
      </c>
      <c r="C29" s="39">
        <f>IF(ISERROR(B29*3.6/1000000/'E Balans VL '!Z10*100),0,B29*3.6/1000000/'E Balans VL '!Z10*100)</f>
        <v>2.1379167407656923E-2</v>
      </c>
      <c r="D29" s="239" t="s">
        <v>692</v>
      </c>
      <c r="F29" s="6"/>
    </row>
    <row r="30" spans="1:18">
      <c r="A30" s="233" t="s">
        <v>50</v>
      </c>
      <c r="B30" s="33">
        <f>IF(ISERROR(TER_ander_ele_kWh/1000),0,TER_ander_ele_kWh/1000)</f>
        <v>1883.2470164061701</v>
      </c>
      <c r="C30" s="39">
        <f>IF(ISERROR(B30*3.6/1000000/'E Balans VL '!Z14*100),0,B30*3.6/1000000/'E Balans VL '!Z14*100)</f>
        <v>0.13781174461601756</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5520.3548924749803</v>
      </c>
      <c r="C32" s="39">
        <f>IF(ISERROR(B32*3.6/1000000/'E Balans VL '!Z8*100),0,B32*3.6/1000000/'E Balans VL '!Z8*100)</f>
        <v>4.4987542240504406E-2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1945.6556525317992</v>
      </c>
      <c r="C5" s="17">
        <f>IF(ISERROR('Eigen informatie GS &amp; warmtenet'!B59),0,'Eigen informatie GS &amp; warmtenet'!B59)</f>
        <v>0</v>
      </c>
      <c r="D5" s="30">
        <f>SUM(D6:D15)</f>
        <v>1778.7442238599485</v>
      </c>
      <c r="E5" s="17">
        <f>SUM(E6:E15)</f>
        <v>243.58970882490752</v>
      </c>
      <c r="F5" s="17">
        <f>SUM(F6:F15)</f>
        <v>1068.675659946854</v>
      </c>
      <c r="G5" s="18"/>
      <c r="H5" s="17"/>
      <c r="I5" s="17"/>
      <c r="J5" s="17">
        <f>SUM(J6:J15)</f>
        <v>2.3770374129831304</v>
      </c>
      <c r="K5" s="17"/>
      <c r="L5" s="17"/>
      <c r="M5" s="17"/>
      <c r="N5" s="17">
        <f>SUM(N6:N15)</f>
        <v>465.83066391822535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133.04636539997398</v>
      </c>
      <c r="C8" s="33"/>
      <c r="D8" s="37">
        <f>IF( ISERROR(IND_metaal_Gas_kWH/1000),0,IND_metaal_Gas_kWH/1000)*0.902</f>
        <v>0</v>
      </c>
      <c r="E8" s="33">
        <f>C30*'E Balans VL '!I18/100/3.6*1000000</f>
        <v>3.8215910090779319</v>
      </c>
      <c r="F8" s="33">
        <f>C30*'E Balans VL '!L18/100/3.6*1000000+C30*'E Balans VL '!N18/100/3.6*1000000</f>
        <v>34.123833875751167</v>
      </c>
      <c r="G8" s="34"/>
      <c r="H8" s="33"/>
      <c r="I8" s="33"/>
      <c r="J8" s="40">
        <f>C30*'E Balans VL '!D18/100/3.6*1000000+C30*'E Balans VL '!E18/100/3.6*1000000</f>
        <v>0</v>
      </c>
      <c r="K8" s="33"/>
      <c r="L8" s="33"/>
      <c r="M8" s="33"/>
      <c r="N8" s="33">
        <f>C30*'E Balans VL '!Y18/100/3.6*1000000</f>
        <v>3.612480406718777</v>
      </c>
      <c r="O8" s="33"/>
      <c r="P8" s="33"/>
      <c r="R8" s="32"/>
    </row>
    <row r="9" spans="1:18">
      <c r="A9" s="6" t="s">
        <v>33</v>
      </c>
      <c r="B9" s="37">
        <f t="shared" si="0"/>
        <v>612.30291709795006</v>
      </c>
      <c r="C9" s="33"/>
      <c r="D9" s="37">
        <f>IF( ISERROR(IND_andere_gas_kWh/1000),0,IND_andere_gas_kWh/1000)*0.902</f>
        <v>499.57100840503102</v>
      </c>
      <c r="E9" s="33">
        <f>C31*'E Balans VL '!I19/100/3.6*1000000</f>
        <v>165.73534494182735</v>
      </c>
      <c r="F9" s="33">
        <f>C31*'E Balans VL '!L19/100/3.6*1000000+C31*'E Balans VL '!N19/100/3.6*1000000</f>
        <v>407.85853797094597</v>
      </c>
      <c r="G9" s="34"/>
      <c r="H9" s="33"/>
      <c r="I9" s="33"/>
      <c r="J9" s="40">
        <f>C31*'E Balans VL '!D19/100/3.6*1000000+C31*'E Balans VL '!E19/100/3.6*1000000</f>
        <v>0</v>
      </c>
      <c r="K9" s="33"/>
      <c r="L9" s="33"/>
      <c r="M9" s="33"/>
      <c r="N9" s="33">
        <f>C31*'E Balans VL '!Y19/100/3.6*1000000</f>
        <v>199.90673121025918</v>
      </c>
      <c r="O9" s="33"/>
      <c r="P9" s="33"/>
      <c r="R9" s="32"/>
    </row>
    <row r="10" spans="1:18">
      <c r="A10" s="6" t="s">
        <v>41</v>
      </c>
      <c r="B10" s="37">
        <f t="shared" si="0"/>
        <v>274.30149127595303</v>
      </c>
      <c r="C10" s="33"/>
      <c r="D10" s="37">
        <f>IF( ISERROR(IND_voed_gas_kWh/1000),0,IND_voed_gas_kWh/1000)*0.902</f>
        <v>226.10177634170654</v>
      </c>
      <c r="E10" s="33">
        <f>C32*'E Balans VL '!I20/100/3.6*1000000</f>
        <v>22.372659819744509</v>
      </c>
      <c r="F10" s="33">
        <f>C32*'E Balans VL '!L20/100/3.6*1000000+C32*'E Balans VL '!N20/100/3.6*1000000</f>
        <v>409.00841030434913</v>
      </c>
      <c r="G10" s="34"/>
      <c r="H10" s="33"/>
      <c r="I10" s="33"/>
      <c r="J10" s="40">
        <f>C32*'E Balans VL '!D20/100/3.6*1000000+C32*'E Balans VL '!E20/100/3.6*1000000</f>
        <v>3.6286757722368817E-3</v>
      </c>
      <c r="K10" s="33"/>
      <c r="L10" s="33"/>
      <c r="M10" s="33"/>
      <c r="N10" s="33">
        <f>C32*'E Balans VL '!Y20/100/3.6*1000000</f>
        <v>80.580099080919766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926.00487875792203</v>
      </c>
      <c r="C15" s="33"/>
      <c r="D15" s="37">
        <f>IF( ISERROR(IND_rest_gas_kWh/1000),0,IND_rest_gas_kWh/1000)*0.902</f>
        <v>1053.071439113211</v>
      </c>
      <c r="E15" s="33">
        <f>C37*'E Balans VL '!I15/100/3.6*1000000</f>
        <v>51.660113054257714</v>
      </c>
      <c r="F15" s="33">
        <f>C37*'E Balans VL '!L15/100/3.6*1000000+C37*'E Balans VL '!N15/100/3.6*1000000</f>
        <v>217.68487779580781</v>
      </c>
      <c r="G15" s="34"/>
      <c r="H15" s="33"/>
      <c r="I15" s="33"/>
      <c r="J15" s="40">
        <f>C37*'E Balans VL '!D15/100/3.6*1000000+C37*'E Balans VL '!E15/100/3.6*1000000</f>
        <v>2.3734087372108936</v>
      </c>
      <c r="K15" s="33"/>
      <c r="L15" s="33"/>
      <c r="M15" s="33"/>
      <c r="N15" s="33">
        <f>C37*'E Balans VL '!Y15/100/3.6*1000000</f>
        <v>181.73135322032758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1945.6556525317992</v>
      </c>
      <c r="C18" s="21">
        <f>C5+C16</f>
        <v>0</v>
      </c>
      <c r="D18" s="21">
        <f>MAX((D5+D16),0)</f>
        <v>1778.7442238599485</v>
      </c>
      <c r="E18" s="21">
        <f>MAX((E5+E16),0)</f>
        <v>243.58970882490752</v>
      </c>
      <c r="F18" s="21">
        <f>MAX((F5+F16),0)</f>
        <v>1068.675659946854</v>
      </c>
      <c r="G18" s="21"/>
      <c r="H18" s="21"/>
      <c r="I18" s="21"/>
      <c r="J18" s="21">
        <f>MAX((J5+J16),0)</f>
        <v>2.3770374129831304</v>
      </c>
      <c r="K18" s="21"/>
      <c r="L18" s="21">
        <f>MAX((L5+L16),0)</f>
        <v>0</v>
      </c>
      <c r="M18" s="21"/>
      <c r="N18" s="21">
        <f>MAX((N5+N16),0)</f>
        <v>465.83066391822535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0.19719120179147936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383.66617639513049</v>
      </c>
      <c r="C22" s="23">
        <f ca="1">C18*C20</f>
        <v>0</v>
      </c>
      <c r="D22" s="23">
        <f>D18*D20</f>
        <v>359.30633321970964</v>
      </c>
      <c r="E22" s="23">
        <f>E18*E20</f>
        <v>55.294863903254011</v>
      </c>
      <c r="F22" s="23">
        <f>F18*F20</f>
        <v>285.33640120581003</v>
      </c>
      <c r="G22" s="23"/>
      <c r="H22" s="23"/>
      <c r="I22" s="23"/>
      <c r="J22" s="23">
        <f>J18*J20</f>
        <v>0.84147124419602815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133.04636539997398</v>
      </c>
      <c r="C30" s="39">
        <f>IF(ISERROR(B30*3.6/1000000/'E Balans VL '!Z18*100),0,B30*3.6/1000000/'E Balans VL '!Z18*100)</f>
        <v>1.3091422724165807E-2</v>
      </c>
      <c r="D30" s="239" t="s">
        <v>692</v>
      </c>
    </row>
    <row r="31" spans="1:18">
      <c r="A31" s="6" t="s">
        <v>33</v>
      </c>
      <c r="B31" s="37">
        <f>IF( ISERROR(IND_ander_ele_kWh/1000),0,IND_ander_ele_kWh/1000)</f>
        <v>612.30291709795006</v>
      </c>
      <c r="C31" s="39">
        <f>IF(ISERROR(B31*3.6/1000000/'E Balans VL '!Z19*100),0,B31*3.6/1000000/'E Balans VL '!Z19*100)</f>
        <v>2.6665303610390108E-2</v>
      </c>
      <c r="D31" s="239" t="s">
        <v>692</v>
      </c>
    </row>
    <row r="32" spans="1:18">
      <c r="A32" s="173" t="s">
        <v>41</v>
      </c>
      <c r="B32" s="37">
        <f>IF( ISERROR(IND_voed_ele_kWh/1000),0,IND_voed_ele_kWh/1000)</f>
        <v>274.30149127595303</v>
      </c>
      <c r="C32" s="39">
        <f>IF(ISERROR(B32*3.6/1000000/'E Balans VL '!Z20*100),0,B32*3.6/1000000/'E Balans VL '!Z20*100)</f>
        <v>5.2044752111761981E-2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926.00487875792203</v>
      </c>
      <c r="C37" s="39">
        <f>IF(ISERROR(B37*3.6/1000000/'E Balans VL '!Z15*100),0,B37*3.6/1000000/'E Balans VL '!Z15*100)</f>
        <v>7.1360049592650064E-3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418.86626515004565</v>
      </c>
      <c r="C5" s="17">
        <f>'Eigen informatie GS &amp; warmtenet'!B60</f>
        <v>0</v>
      </c>
      <c r="D5" s="30">
        <f>IF(ISERROR(SUM(LB_lb_gas_kWh,LB_rest_gas_kWh)/1000),0,SUM(LB_lb_gas_kWh,LB_rest_gas_kWh)/1000)*0.902</f>
        <v>280.56238169811201</v>
      </c>
      <c r="E5" s="17">
        <f>B17*'E Balans VL '!I25/3.6*1000000/100</f>
        <v>5.278254550353795</v>
      </c>
      <c r="F5" s="17">
        <f>B17*('E Balans VL '!L25/3.6*1000000+'E Balans VL '!N25/3.6*1000000)/100</f>
        <v>1445.1935470370374</v>
      </c>
      <c r="G5" s="18"/>
      <c r="H5" s="17"/>
      <c r="I5" s="17"/>
      <c r="J5" s="17">
        <f>('E Balans VL '!D25+'E Balans VL '!E25)/3.6*1000000*landbouw!B17/100</f>
        <v>62.992724774913732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418.86626515004565</v>
      </c>
      <c r="C8" s="21">
        <f>C5+C6</f>
        <v>0</v>
      </c>
      <c r="D8" s="21">
        <f>MAX((D5+D6),0)</f>
        <v>280.56238169811201</v>
      </c>
      <c r="E8" s="21">
        <f>MAX((E5+E6),0)</f>
        <v>5.278254550353795</v>
      </c>
      <c r="F8" s="21">
        <f>MAX((F5+F6),0)</f>
        <v>1445.1935470370374</v>
      </c>
      <c r="G8" s="21"/>
      <c r="H8" s="21"/>
      <c r="I8" s="21"/>
      <c r="J8" s="21">
        <f>MAX((J5+J6),0)</f>
        <v>62.992724774913732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0.19719120179147936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82.596742214845946</v>
      </c>
      <c r="C12" s="23">
        <f ca="1">C8*C10</f>
        <v>0</v>
      </c>
      <c r="D12" s="23">
        <f>D8*D10</f>
        <v>56.673601103018626</v>
      </c>
      <c r="E12" s="23">
        <f>E8*E10</f>
        <v>1.1981637829303116</v>
      </c>
      <c r="F12" s="23">
        <f>F8*F10</f>
        <v>385.86667705888902</v>
      </c>
      <c r="G12" s="23"/>
      <c r="H12" s="23"/>
      <c r="I12" s="23"/>
      <c r="J12" s="23">
        <f>J8*J10</f>
        <v>22.299424570319459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5.8418642090075183E-2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113.01029701202683</v>
      </c>
      <c r="C26" s="249">
        <f>B26*'GWP N2O_CH4'!B5</f>
        <v>2373.2162372525631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14.421662126059751</v>
      </c>
      <c r="C27" s="249">
        <f>B27*'GWP N2O_CH4'!B5</f>
        <v>302.85490464725478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1.6391434066592123</v>
      </c>
      <c r="C28" s="249">
        <f>B28*'GWP N2O_CH4'!B4</f>
        <v>508.13445606435585</v>
      </c>
      <c r="D28" s="50"/>
    </row>
    <row r="29" spans="1:4">
      <c r="A29" s="41" t="s">
        <v>277</v>
      </c>
      <c r="B29" s="249">
        <f>B34*'ha_N2O bodem landbouw'!B4</f>
        <v>10.757663225155349</v>
      </c>
      <c r="C29" s="249">
        <f>B29*'GWP N2O_CH4'!B4</f>
        <v>3334.8755997981584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2.6860810137501767E-3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4.6018724868048247E-5</v>
      </c>
      <c r="C5" s="448" t="s">
        <v>211</v>
      </c>
      <c r="D5" s="433">
        <f>SUM(D6:D11)</f>
        <v>7.1022772261378962E-5</v>
      </c>
      <c r="E5" s="433">
        <f>SUM(E6:E11)</f>
        <v>2.5763734678976064E-3</v>
      </c>
      <c r="F5" s="446" t="s">
        <v>211</v>
      </c>
      <c r="G5" s="433">
        <f>SUM(G6:G11)</f>
        <v>0.66135705083492768</v>
      </c>
      <c r="H5" s="433">
        <f>SUM(H6:H11)</f>
        <v>0.11005479881881082</v>
      </c>
      <c r="I5" s="448" t="s">
        <v>211</v>
      </c>
      <c r="J5" s="448" t="s">
        <v>211</v>
      </c>
      <c r="K5" s="448" t="s">
        <v>211</v>
      </c>
      <c r="L5" s="448" t="s">
        <v>211</v>
      </c>
      <c r="M5" s="433">
        <f>SUM(M6:M11)</f>
        <v>3.4867899430088868E-2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1.0732584620454223E-5</v>
      </c>
      <c r="C6" s="887"/>
      <c r="D6" s="887">
        <f>vkm_2011_GW_PW*SUMIFS(TableVerdeelsleutelVkm[CNG],TableVerdeelsleutelVkm[Voertuigtype],"Lichte voertuigen")*SUMIFS(TableECFTransport[EnergieConsumptieFactor (PJ per km)],TableECFTransport[Index],CONCATENATE($A6,"_CNG_CNG"))</f>
        <v>1.5199438908057845E-5</v>
      </c>
      <c r="E6" s="887">
        <f>vkm_2011_GW_PW*SUMIFS(TableVerdeelsleutelVkm[LPG],TableVerdeelsleutelVkm[Voertuigtype],"Lichte voertuigen")*SUMIFS(TableECFTransport[EnergieConsumptieFactor (PJ per km)],TableECFTransport[Index],CONCATENATE($A6,"_LPG_LPG"))</f>
        <v>4.7736433822820139E-4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8.5795442788647147E-2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2.298957925704382E-2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4.9217819953698734E-3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3.1465741147018333E-2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1.1179451631670441E-5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1.4199493157628072E-3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3.4909361553409743E-6</v>
      </c>
      <c r="C8" s="887"/>
      <c r="D8" s="436">
        <f>vkm_2011_NGW_PW*SUMIFS(TableVerdeelsleutelVkm[CNG],TableVerdeelsleutelVkm[Voertuigtype],"Lichte voertuigen")*SUMIFS(TableECFTransport[EnergieConsumptieFactor (PJ per km)],TableECFTransport[Index],CONCATENATE($A8,"_CNG_CNG"))</f>
        <v>8.8075501432927806E-6</v>
      </c>
      <c r="E8" s="436">
        <f>vkm_2011_NGW_PW*SUMIFS(TableVerdeelsleutelVkm[LPG],TableVerdeelsleutelVkm[Voertuigtype],"Lichte voertuigen")*SUMIFS(TableECFTransport[EnergieConsumptieFactor (PJ per km)],TableECFTransport[Index],CONCATENATE($A8,"_LPG_LPG"))</f>
        <v>2.547826219616566E-4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4.3188125048718898E-2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1.2854098786595682E-2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2.5361634774690549E-3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7.3390868558921192E-3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2.4674551355968458E-6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3.3118335774673174E-4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3.179520409225305E-5</v>
      </c>
      <c r="C10" s="887"/>
      <c r="D10" s="436">
        <f>vkm_2011_SW_PW*SUMIFS(TableVerdeelsleutelVkm[CNG],TableVerdeelsleutelVkm[Voertuigtype],"Lichte voertuigen")*SUMIFS(TableECFTransport[EnergieConsumptieFactor (PJ per km)],TableECFTransport[Index],CONCATENATE($A10,"_CNG_CNG"))</f>
        <v>4.7015783210028329E-5</v>
      </c>
      <c r="E10" s="436">
        <f>vkm_2011_SW_PW*SUMIFS(TableVerdeelsleutelVkm[LPG],TableVerdeelsleutelVkm[Voertuigtype],"Lichte voertuigen")*SUMIFS(TableECFTransport[EnergieConsumptieFactor (PJ per km)],TableECFTransport[Index],CONCATENATE($A10,"_LPG_LPG"))</f>
        <v>1.8442265077077483E-3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0.30018585851825724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7.4123380421650648E-2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1.6931821322881915E-2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0.19338279647639392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7.4093446753399029E-5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8.7269999608584874E-3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12.782979130013402</v>
      </c>
      <c r="C14" s="21"/>
      <c r="D14" s="21">
        <f t="shared" ref="D14:M14" si="0">((D5)*10^9/3600)+D12</f>
        <v>19.728547850383045</v>
      </c>
      <c r="E14" s="21">
        <f t="shared" si="0"/>
        <v>715.65929663822408</v>
      </c>
      <c r="F14" s="21"/>
      <c r="G14" s="21">
        <f t="shared" si="0"/>
        <v>183710.29189859101</v>
      </c>
      <c r="H14" s="21">
        <f t="shared" si="0"/>
        <v>30570.777449669673</v>
      </c>
      <c r="I14" s="21"/>
      <c r="J14" s="21"/>
      <c r="K14" s="21"/>
      <c r="L14" s="21"/>
      <c r="M14" s="21">
        <f t="shared" si="0"/>
        <v>9685.5276194691305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0.19719120179147936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2.5206910171227421</v>
      </c>
      <c r="C18" s="23"/>
      <c r="D18" s="23">
        <f t="shared" ref="D18:M18" si="1">D14*D16</f>
        <v>3.9851666657773754</v>
      </c>
      <c r="E18" s="23">
        <f t="shared" si="1"/>
        <v>162.45466033687688</v>
      </c>
      <c r="F18" s="23"/>
      <c r="G18" s="23">
        <f t="shared" si="1"/>
        <v>49050.6479369238</v>
      </c>
      <c r="H18" s="23">
        <f t="shared" si="1"/>
        <v>7612.1235849677487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8.7164067247774406E-3</v>
      </c>
      <c r="H50" s="323">
        <f t="shared" si="2"/>
        <v>0</v>
      </c>
      <c r="I50" s="323">
        <f t="shared" si="2"/>
        <v>0</v>
      </c>
      <c r="J50" s="323">
        <f t="shared" si="2"/>
        <v>0</v>
      </c>
      <c r="K50" s="323">
        <f t="shared" si="2"/>
        <v>0</v>
      </c>
      <c r="L50" s="323">
        <f t="shared" si="2"/>
        <v>0</v>
      </c>
      <c r="M50" s="323">
        <f t="shared" si="2"/>
        <v>3.8763992665282159E-4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8.7164067247774406E-3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3.8763992665282159E-4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2421.224090215956</v>
      </c>
      <c r="H54" s="21">
        <f t="shared" si="3"/>
        <v>0</v>
      </c>
      <c r="I54" s="21">
        <f t="shared" si="3"/>
        <v>0</v>
      </c>
      <c r="J54" s="21">
        <f t="shared" si="3"/>
        <v>0</v>
      </c>
      <c r="K54" s="21">
        <f t="shared" si="3"/>
        <v>0</v>
      </c>
      <c r="L54" s="21">
        <f t="shared" si="3"/>
        <v>0</v>
      </c>
      <c r="M54" s="21">
        <f t="shared" si="3"/>
        <v>107.67775740356156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0.19719120179147936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646.46683208766035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22313.858189062441</v>
      </c>
      <c r="D10" s="690">
        <f ca="1">tertiair!C16</f>
        <v>0</v>
      </c>
      <c r="E10" s="690">
        <f ca="1">tertiair!D16</f>
        <v>19380.56548497278</v>
      </c>
      <c r="F10" s="690">
        <f>tertiair!E16</f>
        <v>237.75616546982781</v>
      </c>
      <c r="G10" s="690">
        <f ca="1">tertiair!F16</f>
        <v>3925.2512046644206</v>
      </c>
      <c r="H10" s="690">
        <f>tertiair!G16</f>
        <v>0</v>
      </c>
      <c r="I10" s="690">
        <f>tertiair!H16</f>
        <v>0</v>
      </c>
      <c r="J10" s="690">
        <f>tertiair!I16</f>
        <v>0</v>
      </c>
      <c r="K10" s="690">
        <f>tertiair!J16</f>
        <v>0</v>
      </c>
      <c r="L10" s="690">
        <f>tertiair!K16</f>
        <v>0</v>
      </c>
      <c r="M10" s="690">
        <f ca="1">tertiair!L16</f>
        <v>0</v>
      </c>
      <c r="N10" s="690">
        <f>tertiair!M16</f>
        <v>0</v>
      </c>
      <c r="O10" s="690">
        <f ca="1">tertiair!N16</f>
        <v>1767.1721146298571</v>
      </c>
      <c r="P10" s="690">
        <f>tertiair!O16</f>
        <v>1.5633333333333335</v>
      </c>
      <c r="Q10" s="691">
        <f>tertiair!P16</f>
        <v>19.066666666666666</v>
      </c>
      <c r="R10" s="693">
        <f ca="1">SUM(C10:Q10)</f>
        <v>47645.233158799325</v>
      </c>
      <c r="S10" s="67"/>
    </row>
    <row r="11" spans="1:19" s="458" customFormat="1">
      <c r="A11" s="805" t="s">
        <v>225</v>
      </c>
      <c r="B11" s="810"/>
      <c r="C11" s="690">
        <f>huishoudens!B8</f>
        <v>43872.994790904799</v>
      </c>
      <c r="D11" s="690">
        <f>huishoudens!C8</f>
        <v>0</v>
      </c>
      <c r="E11" s="690">
        <f>huishoudens!D8</f>
        <v>103136.24917206775</v>
      </c>
      <c r="F11" s="690">
        <f>huishoudens!E8</f>
        <v>5442.1556464746936</v>
      </c>
      <c r="G11" s="690">
        <f>huishoudens!F8</f>
        <v>33358.45118870493</v>
      </c>
      <c r="H11" s="690">
        <f>huishoudens!G8</f>
        <v>0</v>
      </c>
      <c r="I11" s="690">
        <f>huishoudens!H8</f>
        <v>0</v>
      </c>
      <c r="J11" s="690">
        <f>huishoudens!I8</f>
        <v>0</v>
      </c>
      <c r="K11" s="690">
        <f>huishoudens!J8</f>
        <v>0</v>
      </c>
      <c r="L11" s="690">
        <f>huishoudens!K8</f>
        <v>0</v>
      </c>
      <c r="M11" s="690">
        <f>huishoudens!L8</f>
        <v>0</v>
      </c>
      <c r="N11" s="690">
        <f>huishoudens!M8</f>
        <v>0</v>
      </c>
      <c r="O11" s="690">
        <f>huishoudens!N8</f>
        <v>14430.857118923646</v>
      </c>
      <c r="P11" s="690">
        <f>huishoudens!O8</f>
        <v>264.20333333333338</v>
      </c>
      <c r="Q11" s="691">
        <f>huishoudens!P8</f>
        <v>572</v>
      </c>
      <c r="R11" s="693">
        <f>SUM(C11:Q11)</f>
        <v>201076.91125040915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1945.6556525317992</v>
      </c>
      <c r="D13" s="690">
        <f>industrie!C18</f>
        <v>0</v>
      </c>
      <c r="E13" s="690">
        <f>industrie!D18</f>
        <v>1778.7442238599485</v>
      </c>
      <c r="F13" s="690">
        <f>industrie!E18</f>
        <v>243.58970882490752</v>
      </c>
      <c r="G13" s="690">
        <f>industrie!F18</f>
        <v>1068.675659946854</v>
      </c>
      <c r="H13" s="690">
        <f>industrie!G18</f>
        <v>0</v>
      </c>
      <c r="I13" s="690">
        <f>industrie!H18</f>
        <v>0</v>
      </c>
      <c r="J13" s="690">
        <f>industrie!I18</f>
        <v>0</v>
      </c>
      <c r="K13" s="690">
        <f>industrie!J18</f>
        <v>2.3770374129831304</v>
      </c>
      <c r="L13" s="690">
        <f>industrie!K18</f>
        <v>0</v>
      </c>
      <c r="M13" s="690">
        <f>industrie!L18</f>
        <v>0</v>
      </c>
      <c r="N13" s="690">
        <f>industrie!M18</f>
        <v>0</v>
      </c>
      <c r="O13" s="690">
        <f>industrie!N18</f>
        <v>465.83066391822535</v>
      </c>
      <c r="P13" s="690">
        <f>industrie!O18</f>
        <v>0</v>
      </c>
      <c r="Q13" s="691">
        <f>industrie!P18</f>
        <v>0</v>
      </c>
      <c r="R13" s="693">
        <f>SUM(C13:Q13)</f>
        <v>5504.8729464947182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68132.508632499041</v>
      </c>
      <c r="D16" s="725">
        <f t="shared" ref="D16:R16" ca="1" si="0">SUM(D9:D15)</f>
        <v>0</v>
      </c>
      <c r="E16" s="725">
        <f t="shared" ca="1" si="0"/>
        <v>124295.55888090047</v>
      </c>
      <c r="F16" s="725">
        <f t="shared" si="0"/>
        <v>5923.5015207694287</v>
      </c>
      <c r="G16" s="725">
        <f t="shared" ca="1" si="0"/>
        <v>38352.378053316206</v>
      </c>
      <c r="H16" s="725">
        <f t="shared" si="0"/>
        <v>0</v>
      </c>
      <c r="I16" s="725">
        <f t="shared" si="0"/>
        <v>0</v>
      </c>
      <c r="J16" s="725">
        <f t="shared" si="0"/>
        <v>0</v>
      </c>
      <c r="K16" s="725">
        <f t="shared" si="0"/>
        <v>2.3770374129831304</v>
      </c>
      <c r="L16" s="725">
        <f t="shared" si="0"/>
        <v>0</v>
      </c>
      <c r="M16" s="725">
        <f t="shared" ca="1" si="0"/>
        <v>0</v>
      </c>
      <c r="N16" s="725">
        <f t="shared" si="0"/>
        <v>0</v>
      </c>
      <c r="O16" s="725">
        <f t="shared" ca="1" si="0"/>
        <v>16663.859897471728</v>
      </c>
      <c r="P16" s="725">
        <f t="shared" si="0"/>
        <v>265.76666666666671</v>
      </c>
      <c r="Q16" s="725">
        <f t="shared" si="0"/>
        <v>591.06666666666672</v>
      </c>
      <c r="R16" s="725">
        <f t="shared" ca="1" si="0"/>
        <v>254227.0173557032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2421.224090215956</v>
      </c>
      <c r="I19" s="690">
        <f>transport!H54</f>
        <v>0</v>
      </c>
      <c r="J19" s="690">
        <f>transport!I54</f>
        <v>0</v>
      </c>
      <c r="K19" s="690">
        <f>transport!J54</f>
        <v>0</v>
      </c>
      <c r="L19" s="690">
        <f>transport!K54</f>
        <v>0</v>
      </c>
      <c r="M19" s="690">
        <f>transport!L54</f>
        <v>0</v>
      </c>
      <c r="N19" s="690">
        <f>transport!M54</f>
        <v>107.67775740356156</v>
      </c>
      <c r="O19" s="690">
        <f>transport!N54</f>
        <v>0</v>
      </c>
      <c r="P19" s="690">
        <f>transport!O54</f>
        <v>0</v>
      </c>
      <c r="Q19" s="691">
        <f>transport!P54</f>
        <v>0</v>
      </c>
      <c r="R19" s="693">
        <f>SUM(C19:Q19)</f>
        <v>2528.9018476195174</v>
      </c>
      <c r="S19" s="67"/>
    </row>
    <row r="20" spans="1:19" s="458" customFormat="1">
      <c r="A20" s="805" t="s">
        <v>307</v>
      </c>
      <c r="B20" s="810"/>
      <c r="C20" s="690">
        <f>transport!B14</f>
        <v>12.782979130013402</v>
      </c>
      <c r="D20" s="690">
        <f>transport!C14</f>
        <v>0</v>
      </c>
      <c r="E20" s="690">
        <f>transport!D14</f>
        <v>19.728547850383045</v>
      </c>
      <c r="F20" s="690">
        <f>transport!E14</f>
        <v>715.65929663822408</v>
      </c>
      <c r="G20" s="690">
        <f>transport!F14</f>
        <v>0</v>
      </c>
      <c r="H20" s="690">
        <f>transport!G14</f>
        <v>183710.29189859101</v>
      </c>
      <c r="I20" s="690">
        <f>transport!H14</f>
        <v>30570.777449669673</v>
      </c>
      <c r="J20" s="690">
        <f>transport!I14</f>
        <v>0</v>
      </c>
      <c r="K20" s="690">
        <f>transport!J14</f>
        <v>0</v>
      </c>
      <c r="L20" s="690">
        <f>transport!K14</f>
        <v>0</v>
      </c>
      <c r="M20" s="690">
        <f>transport!L14</f>
        <v>0</v>
      </c>
      <c r="N20" s="690">
        <f>transport!M14</f>
        <v>9685.5276194691305</v>
      </c>
      <c r="O20" s="690">
        <f>transport!N14</f>
        <v>0</v>
      </c>
      <c r="P20" s="690">
        <f>transport!O14</f>
        <v>0</v>
      </c>
      <c r="Q20" s="691">
        <f>transport!P14</f>
        <v>0</v>
      </c>
      <c r="R20" s="693">
        <f>SUM(C20:Q20)</f>
        <v>224714.76779134842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12.782979130013402</v>
      </c>
      <c r="D22" s="808">
        <f t="shared" ref="D22:R22" si="1">SUM(D18:D21)</f>
        <v>0</v>
      </c>
      <c r="E22" s="808">
        <f t="shared" si="1"/>
        <v>19.728547850383045</v>
      </c>
      <c r="F22" s="808">
        <f t="shared" si="1"/>
        <v>715.65929663822408</v>
      </c>
      <c r="G22" s="808">
        <f t="shared" si="1"/>
        <v>0</v>
      </c>
      <c r="H22" s="808">
        <f t="shared" si="1"/>
        <v>186131.51598880696</v>
      </c>
      <c r="I22" s="808">
        <f t="shared" si="1"/>
        <v>30570.777449669673</v>
      </c>
      <c r="J22" s="808">
        <f t="shared" si="1"/>
        <v>0</v>
      </c>
      <c r="K22" s="808">
        <f t="shared" si="1"/>
        <v>0</v>
      </c>
      <c r="L22" s="808">
        <f t="shared" si="1"/>
        <v>0</v>
      </c>
      <c r="M22" s="808">
        <f t="shared" si="1"/>
        <v>0</v>
      </c>
      <c r="N22" s="808">
        <f t="shared" si="1"/>
        <v>9793.2053768726928</v>
      </c>
      <c r="O22" s="808">
        <f t="shared" si="1"/>
        <v>0</v>
      </c>
      <c r="P22" s="808">
        <f t="shared" si="1"/>
        <v>0</v>
      </c>
      <c r="Q22" s="808">
        <f t="shared" si="1"/>
        <v>0</v>
      </c>
      <c r="R22" s="808">
        <f t="shared" si="1"/>
        <v>227243.66963896793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418.86626515004565</v>
      </c>
      <c r="D24" s="690">
        <f>+landbouw!C8</f>
        <v>0</v>
      </c>
      <c r="E24" s="690">
        <f>+landbouw!D8</f>
        <v>280.56238169811201</v>
      </c>
      <c r="F24" s="690">
        <f>+landbouw!E8</f>
        <v>5.278254550353795</v>
      </c>
      <c r="G24" s="690">
        <f>+landbouw!F8</f>
        <v>1445.1935470370374</v>
      </c>
      <c r="H24" s="690">
        <f>+landbouw!G8</f>
        <v>0</v>
      </c>
      <c r="I24" s="690">
        <f>+landbouw!H8</f>
        <v>0</v>
      </c>
      <c r="J24" s="690">
        <f>+landbouw!I8</f>
        <v>0</v>
      </c>
      <c r="K24" s="690">
        <f>+landbouw!J8</f>
        <v>62.992724774913732</v>
      </c>
      <c r="L24" s="690">
        <f>+landbouw!K8</f>
        <v>0</v>
      </c>
      <c r="M24" s="690">
        <f>+landbouw!L8</f>
        <v>0</v>
      </c>
      <c r="N24" s="690">
        <f>+landbouw!M8</f>
        <v>0</v>
      </c>
      <c r="O24" s="690">
        <f>+landbouw!N8</f>
        <v>0</v>
      </c>
      <c r="P24" s="690">
        <f>+landbouw!O8</f>
        <v>0</v>
      </c>
      <c r="Q24" s="691">
        <f>+landbouw!P8</f>
        <v>0</v>
      </c>
      <c r="R24" s="693">
        <f>SUM(C24:Q24)</f>
        <v>2212.8931732104629</v>
      </c>
      <c r="S24" s="67"/>
    </row>
    <row r="25" spans="1:19" s="458" customFormat="1" ht="15" thickBot="1">
      <c r="A25" s="827" t="s">
        <v>872</v>
      </c>
      <c r="B25" s="1004"/>
      <c r="C25" s="1005">
        <f>IF(Onbekend_ele_kWh="---",0,Onbekend_ele_kWh)/1000+IF(REST_rest_ele_kWh="---",0,REST_rest_ele_kWh)/1000</f>
        <v>1209.5558340407301</v>
      </c>
      <c r="D25" s="1005"/>
      <c r="E25" s="1005">
        <f>IF(onbekend_gas_kWh="---",0,onbekend_gas_kWh)/1000+IF(REST_rest_gas_kWh="---",0,REST_rest_gas_kWh)/1000</f>
        <v>3272.0680699654299</v>
      </c>
      <c r="F25" s="1005"/>
      <c r="G25" s="1005"/>
      <c r="H25" s="1005"/>
      <c r="I25" s="1005"/>
      <c r="J25" s="1005"/>
      <c r="K25" s="1005"/>
      <c r="L25" s="1005"/>
      <c r="M25" s="1005"/>
      <c r="N25" s="1005"/>
      <c r="O25" s="1005"/>
      <c r="P25" s="1005"/>
      <c r="Q25" s="1006"/>
      <c r="R25" s="693">
        <f>SUM(C25:Q25)</f>
        <v>4481.62390400616</v>
      </c>
      <c r="S25" s="67"/>
    </row>
    <row r="26" spans="1:19" s="458" customFormat="1" ht="15.75" thickBot="1">
      <c r="A26" s="698" t="s">
        <v>873</v>
      </c>
      <c r="B26" s="813"/>
      <c r="C26" s="808">
        <f>SUM(C24:C25)</f>
        <v>1628.4220991907757</v>
      </c>
      <c r="D26" s="808">
        <f t="shared" ref="D26:R26" si="2">SUM(D24:D25)</f>
        <v>0</v>
      </c>
      <c r="E26" s="808">
        <f t="shared" si="2"/>
        <v>3552.6304516635419</v>
      </c>
      <c r="F26" s="808">
        <f t="shared" si="2"/>
        <v>5.278254550353795</v>
      </c>
      <c r="G26" s="808">
        <f t="shared" si="2"/>
        <v>1445.1935470370374</v>
      </c>
      <c r="H26" s="808">
        <f t="shared" si="2"/>
        <v>0</v>
      </c>
      <c r="I26" s="808">
        <f t="shared" si="2"/>
        <v>0</v>
      </c>
      <c r="J26" s="808">
        <f t="shared" si="2"/>
        <v>0</v>
      </c>
      <c r="K26" s="808">
        <f t="shared" si="2"/>
        <v>62.992724774913732</v>
      </c>
      <c r="L26" s="808">
        <f t="shared" si="2"/>
        <v>0</v>
      </c>
      <c r="M26" s="808">
        <f t="shared" si="2"/>
        <v>0</v>
      </c>
      <c r="N26" s="808">
        <f t="shared" si="2"/>
        <v>0</v>
      </c>
      <c r="O26" s="808">
        <f t="shared" si="2"/>
        <v>0</v>
      </c>
      <c r="P26" s="808">
        <f t="shared" si="2"/>
        <v>0</v>
      </c>
      <c r="Q26" s="808">
        <f t="shared" si="2"/>
        <v>0</v>
      </c>
      <c r="R26" s="808">
        <f t="shared" si="2"/>
        <v>6694.517077216623</v>
      </c>
      <c r="S26" s="67"/>
    </row>
    <row r="27" spans="1:19" s="458" customFormat="1" ht="17.25" thickTop="1" thickBot="1">
      <c r="A27" s="699" t="s">
        <v>116</v>
      </c>
      <c r="B27" s="800"/>
      <c r="C27" s="700">
        <f ca="1">C22+C16+C26</f>
        <v>69773.713710819837</v>
      </c>
      <c r="D27" s="700">
        <f t="shared" ref="D27:R27" ca="1" si="3">D22+D16+D26</f>
        <v>0</v>
      </c>
      <c r="E27" s="700">
        <f t="shared" ca="1" si="3"/>
        <v>127867.91788041439</v>
      </c>
      <c r="F27" s="700">
        <f t="shared" si="3"/>
        <v>6644.4390719580069</v>
      </c>
      <c r="G27" s="700">
        <f t="shared" ca="1" si="3"/>
        <v>39797.571600353243</v>
      </c>
      <c r="H27" s="700">
        <f t="shared" si="3"/>
        <v>186131.51598880696</v>
      </c>
      <c r="I27" s="700">
        <f t="shared" si="3"/>
        <v>30570.777449669673</v>
      </c>
      <c r="J27" s="700">
        <f t="shared" si="3"/>
        <v>0</v>
      </c>
      <c r="K27" s="700">
        <f t="shared" si="3"/>
        <v>65.369762187896868</v>
      </c>
      <c r="L27" s="700">
        <f t="shared" si="3"/>
        <v>0</v>
      </c>
      <c r="M27" s="700">
        <f t="shared" ca="1" si="3"/>
        <v>0</v>
      </c>
      <c r="N27" s="700">
        <f t="shared" si="3"/>
        <v>9793.2053768726928</v>
      </c>
      <c r="O27" s="700">
        <f t="shared" ca="1" si="3"/>
        <v>16663.859897471728</v>
      </c>
      <c r="P27" s="700">
        <f t="shared" si="3"/>
        <v>265.76666666666671</v>
      </c>
      <c r="Q27" s="700">
        <f t="shared" si="3"/>
        <v>591.06666666666672</v>
      </c>
      <c r="R27" s="700">
        <f t="shared" ca="1" si="3"/>
        <v>488165.20407188777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4400.0965129058659</v>
      </c>
      <c r="D40" s="690">
        <f ca="1">tertiair!C20</f>
        <v>0</v>
      </c>
      <c r="E40" s="690">
        <f ca="1">tertiair!D20</f>
        <v>3914.8742279645016</v>
      </c>
      <c r="F40" s="690">
        <f>tertiair!E20</f>
        <v>53.970649561650916</v>
      </c>
      <c r="G40" s="690">
        <f ca="1">tertiair!F20</f>
        <v>1048.0420716454003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9416.9834620774182</v>
      </c>
    </row>
    <row r="41" spans="1:18">
      <c r="A41" s="818" t="s">
        <v>225</v>
      </c>
      <c r="B41" s="825"/>
      <c r="C41" s="690">
        <f ca="1">huishoudens!B12</f>
        <v>8651.3685690098318</v>
      </c>
      <c r="D41" s="690">
        <f ca="1">huishoudens!C12</f>
        <v>0</v>
      </c>
      <c r="E41" s="690">
        <f>huishoudens!D12</f>
        <v>20833.522332757686</v>
      </c>
      <c r="F41" s="690">
        <f>huishoudens!E12</f>
        <v>1235.3693317497555</v>
      </c>
      <c r="G41" s="690">
        <f>huishoudens!F12</f>
        <v>8906.706467384216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39626.966700901488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383.66617639513049</v>
      </c>
      <c r="D43" s="690">
        <f ca="1">industrie!C22</f>
        <v>0</v>
      </c>
      <c r="E43" s="690">
        <f>industrie!D22</f>
        <v>359.30633321970964</v>
      </c>
      <c r="F43" s="690">
        <f>industrie!E22</f>
        <v>55.294863903254011</v>
      </c>
      <c r="G43" s="690">
        <f>industrie!F22</f>
        <v>285.33640120581003</v>
      </c>
      <c r="H43" s="690">
        <f>industrie!G22</f>
        <v>0</v>
      </c>
      <c r="I43" s="690">
        <f>industrie!H22</f>
        <v>0</v>
      </c>
      <c r="J43" s="690">
        <f>industrie!I22</f>
        <v>0</v>
      </c>
      <c r="K43" s="690">
        <f>industrie!J22</f>
        <v>0.84147124419602815</v>
      </c>
      <c r="L43" s="690">
        <f>industrie!K22</f>
        <v>0</v>
      </c>
      <c r="M43" s="690">
        <f>industrie!L22</f>
        <v>0</v>
      </c>
      <c r="N43" s="690">
        <f>industrie!M22</f>
        <v>0</v>
      </c>
      <c r="O43" s="690">
        <f>industrie!N22</f>
        <v>0</v>
      </c>
      <c r="P43" s="690">
        <f>industrie!O22</f>
        <v>0</v>
      </c>
      <c r="Q43" s="767">
        <f>industrie!P22</f>
        <v>0</v>
      </c>
      <c r="R43" s="845">
        <f t="shared" ca="1" si="4"/>
        <v>1084.4452459681004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13435.131258310828</v>
      </c>
      <c r="D46" s="725">
        <f t="shared" ref="D46:Q46" ca="1" si="5">SUM(D39:D45)</f>
        <v>0</v>
      </c>
      <c r="E46" s="725">
        <f t="shared" ca="1" si="5"/>
        <v>25107.702893941896</v>
      </c>
      <c r="F46" s="725">
        <f t="shared" si="5"/>
        <v>1344.6348452146603</v>
      </c>
      <c r="G46" s="725">
        <f t="shared" ca="1" si="5"/>
        <v>10240.084940235427</v>
      </c>
      <c r="H46" s="725">
        <f t="shared" si="5"/>
        <v>0</v>
      </c>
      <c r="I46" s="725">
        <f t="shared" si="5"/>
        <v>0</v>
      </c>
      <c r="J46" s="725">
        <f t="shared" si="5"/>
        <v>0</v>
      </c>
      <c r="K46" s="725">
        <f t="shared" si="5"/>
        <v>0.84147124419602815</v>
      </c>
      <c r="L46" s="725">
        <f t="shared" si="5"/>
        <v>0</v>
      </c>
      <c r="M46" s="725">
        <f t="shared" ca="1" si="5"/>
        <v>0</v>
      </c>
      <c r="N46" s="725">
        <f t="shared" si="5"/>
        <v>0</v>
      </c>
      <c r="O46" s="725">
        <f t="shared" ca="1" si="5"/>
        <v>0</v>
      </c>
      <c r="P46" s="725">
        <f t="shared" si="5"/>
        <v>0</v>
      </c>
      <c r="Q46" s="725">
        <f t="shared" si="5"/>
        <v>0</v>
      </c>
      <c r="R46" s="725">
        <f ca="1">SUM(R39:R45)</f>
        <v>50128.395408947006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646.46683208766035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646.46683208766035</v>
      </c>
    </row>
    <row r="50" spans="1:18">
      <c r="A50" s="821" t="s">
        <v>307</v>
      </c>
      <c r="B50" s="831"/>
      <c r="C50" s="696">
        <f ca="1">transport!B18</f>
        <v>2.5206910171227421</v>
      </c>
      <c r="D50" s="696">
        <f>transport!C18</f>
        <v>0</v>
      </c>
      <c r="E50" s="696">
        <f>transport!D18</f>
        <v>3.9851666657773754</v>
      </c>
      <c r="F50" s="696">
        <f>transport!E18</f>
        <v>162.45466033687688</v>
      </c>
      <c r="G50" s="696">
        <f>transport!F18</f>
        <v>0</v>
      </c>
      <c r="H50" s="696">
        <f>transport!G18</f>
        <v>49050.6479369238</v>
      </c>
      <c r="I50" s="696">
        <f>transport!H18</f>
        <v>7612.1235849677487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56831.732039911323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2.5206910171227421</v>
      </c>
      <c r="D52" s="725">
        <f t="shared" ref="D52:Q52" ca="1" si="6">SUM(D48:D51)</f>
        <v>0</v>
      </c>
      <c r="E52" s="725">
        <f t="shared" si="6"/>
        <v>3.9851666657773754</v>
      </c>
      <c r="F52" s="725">
        <f t="shared" si="6"/>
        <v>162.45466033687688</v>
      </c>
      <c r="G52" s="725">
        <f t="shared" si="6"/>
        <v>0</v>
      </c>
      <c r="H52" s="725">
        <f t="shared" si="6"/>
        <v>49697.114769011459</v>
      </c>
      <c r="I52" s="725">
        <f t="shared" si="6"/>
        <v>7612.1235849677487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57478.198871998982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82.596742214845946</v>
      </c>
      <c r="D54" s="696">
        <f ca="1">+landbouw!C12</f>
        <v>0</v>
      </c>
      <c r="E54" s="696">
        <f>+landbouw!D12</f>
        <v>56.673601103018626</v>
      </c>
      <c r="F54" s="696">
        <f>+landbouw!E12</f>
        <v>1.1981637829303116</v>
      </c>
      <c r="G54" s="696">
        <f>+landbouw!F12</f>
        <v>385.86667705888902</v>
      </c>
      <c r="H54" s="696">
        <f>+landbouw!G12</f>
        <v>0</v>
      </c>
      <c r="I54" s="696">
        <f>+landbouw!H12</f>
        <v>0</v>
      </c>
      <c r="J54" s="696">
        <f>+landbouw!I12</f>
        <v>0</v>
      </c>
      <c r="K54" s="696">
        <f>+landbouw!J12</f>
        <v>22.299424570319459</v>
      </c>
      <c r="L54" s="696">
        <f>+landbouw!K12</f>
        <v>0</v>
      </c>
      <c r="M54" s="696">
        <f>+landbouw!L12</f>
        <v>0</v>
      </c>
      <c r="N54" s="696">
        <f>+landbouw!M12</f>
        <v>0</v>
      </c>
      <c r="O54" s="696">
        <f>+landbouw!N12</f>
        <v>0</v>
      </c>
      <c r="P54" s="696">
        <f>+landbouw!O12</f>
        <v>0</v>
      </c>
      <c r="Q54" s="697">
        <f>+landbouw!P12</f>
        <v>0</v>
      </c>
      <c r="R54" s="724">
        <f ca="1">SUM(C54:Q54)</f>
        <v>548.63460873000338</v>
      </c>
    </row>
    <row r="55" spans="1:18" ht="15" thickBot="1">
      <c r="A55" s="821" t="s">
        <v>872</v>
      </c>
      <c r="B55" s="831"/>
      <c r="C55" s="696">
        <f ca="1">C25*'EF ele_warmte'!B12</f>
        <v>238.51376854838674</v>
      </c>
      <c r="D55" s="696"/>
      <c r="E55" s="696">
        <f>E25*EF_CO2_aardgas</f>
        <v>660.95775013301693</v>
      </c>
      <c r="F55" s="696"/>
      <c r="G55" s="696"/>
      <c r="H55" s="696"/>
      <c r="I55" s="696"/>
      <c r="J55" s="696"/>
      <c r="K55" s="696"/>
      <c r="L55" s="696"/>
      <c r="M55" s="696"/>
      <c r="N55" s="696"/>
      <c r="O55" s="696"/>
      <c r="P55" s="696"/>
      <c r="Q55" s="697"/>
      <c r="R55" s="724">
        <f ca="1">SUM(C55:Q55)</f>
        <v>899.47151868140372</v>
      </c>
    </row>
    <row r="56" spans="1:18" ht="15.75" thickBot="1">
      <c r="A56" s="819" t="s">
        <v>873</v>
      </c>
      <c r="B56" s="832"/>
      <c r="C56" s="725">
        <f ca="1">SUM(C54:C55)</f>
        <v>321.1105107632327</v>
      </c>
      <c r="D56" s="725">
        <f t="shared" ref="D56:Q56" ca="1" si="7">SUM(D54:D55)</f>
        <v>0</v>
      </c>
      <c r="E56" s="725">
        <f t="shared" si="7"/>
        <v>717.63135123603558</v>
      </c>
      <c r="F56" s="725">
        <f t="shared" si="7"/>
        <v>1.1981637829303116</v>
      </c>
      <c r="G56" s="725">
        <f t="shared" si="7"/>
        <v>385.86667705888902</v>
      </c>
      <c r="H56" s="725">
        <f t="shared" si="7"/>
        <v>0</v>
      </c>
      <c r="I56" s="725">
        <f t="shared" si="7"/>
        <v>0</v>
      </c>
      <c r="J56" s="725">
        <f t="shared" si="7"/>
        <v>0</v>
      </c>
      <c r="K56" s="725">
        <f t="shared" si="7"/>
        <v>22.299424570319459</v>
      </c>
      <c r="L56" s="725">
        <f t="shared" si="7"/>
        <v>0</v>
      </c>
      <c r="M56" s="725">
        <f t="shared" si="7"/>
        <v>0</v>
      </c>
      <c r="N56" s="725">
        <f t="shared" si="7"/>
        <v>0</v>
      </c>
      <c r="O56" s="725">
        <f t="shared" si="7"/>
        <v>0</v>
      </c>
      <c r="P56" s="725">
        <f t="shared" si="7"/>
        <v>0</v>
      </c>
      <c r="Q56" s="726">
        <f t="shared" si="7"/>
        <v>0</v>
      </c>
      <c r="R56" s="727">
        <f ca="1">SUM(R54:R55)</f>
        <v>1448.1061274114072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13758.762460091182</v>
      </c>
      <c r="D61" s="733">
        <f t="shared" ref="D61:Q61" ca="1" si="8">D46+D52+D56</f>
        <v>0</v>
      </c>
      <c r="E61" s="733">
        <f t="shared" ca="1" si="8"/>
        <v>25829.31941184371</v>
      </c>
      <c r="F61" s="733">
        <f t="shared" si="8"/>
        <v>1508.2876693344676</v>
      </c>
      <c r="G61" s="733">
        <f t="shared" ca="1" si="8"/>
        <v>10625.951617294317</v>
      </c>
      <c r="H61" s="733">
        <f t="shared" si="8"/>
        <v>49697.114769011459</v>
      </c>
      <c r="I61" s="733">
        <f t="shared" si="8"/>
        <v>7612.1235849677487</v>
      </c>
      <c r="J61" s="733">
        <f t="shared" si="8"/>
        <v>0</v>
      </c>
      <c r="K61" s="733">
        <f t="shared" si="8"/>
        <v>23.140895814515488</v>
      </c>
      <c r="L61" s="733">
        <f t="shared" si="8"/>
        <v>0</v>
      </c>
      <c r="M61" s="733">
        <f t="shared" ca="1" si="8"/>
        <v>0</v>
      </c>
      <c r="N61" s="733">
        <f t="shared" si="8"/>
        <v>0</v>
      </c>
      <c r="O61" s="733">
        <f t="shared" ca="1" si="8"/>
        <v>0</v>
      </c>
      <c r="P61" s="733">
        <f t="shared" si="8"/>
        <v>0</v>
      </c>
      <c r="Q61" s="733">
        <f t="shared" si="8"/>
        <v>0</v>
      </c>
      <c r="R61" s="733">
        <f ca="1">R46+R52+R56</f>
        <v>109054.70040835738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0.19719120179147934</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7516.8700000000008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7516.8700000000008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7516.8700000000008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7516.8700000000008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43872.994790904799</v>
      </c>
      <c r="C4" s="462">
        <f>huishoudens!C8</f>
        <v>0</v>
      </c>
      <c r="D4" s="462">
        <f>huishoudens!D8</f>
        <v>103136.24917206775</v>
      </c>
      <c r="E4" s="462">
        <f>huishoudens!E8</f>
        <v>5442.1556464746936</v>
      </c>
      <c r="F4" s="462">
        <f>huishoudens!F8</f>
        <v>33358.45118870493</v>
      </c>
      <c r="G4" s="462">
        <f>huishoudens!G8</f>
        <v>0</v>
      </c>
      <c r="H4" s="462">
        <f>huishoudens!H8</f>
        <v>0</v>
      </c>
      <c r="I4" s="462">
        <f>huishoudens!I8</f>
        <v>0</v>
      </c>
      <c r="J4" s="462">
        <f>huishoudens!J8</f>
        <v>0</v>
      </c>
      <c r="K4" s="462">
        <f>huishoudens!K8</f>
        <v>0</v>
      </c>
      <c r="L4" s="462">
        <f>huishoudens!L8</f>
        <v>0</v>
      </c>
      <c r="M4" s="462">
        <f>huishoudens!M8</f>
        <v>0</v>
      </c>
      <c r="N4" s="462">
        <f>huishoudens!N8</f>
        <v>14430.857118923646</v>
      </c>
      <c r="O4" s="462">
        <f>huishoudens!O8</f>
        <v>264.20333333333338</v>
      </c>
      <c r="P4" s="463">
        <f>huishoudens!P8</f>
        <v>572</v>
      </c>
      <c r="Q4" s="464">
        <f>SUM(B4:P4)</f>
        <v>201076.91125040915</v>
      </c>
    </row>
    <row r="5" spans="1:17">
      <c r="A5" s="461" t="s">
        <v>156</v>
      </c>
      <c r="B5" s="462">
        <f ca="1">tertiair!B16</f>
        <v>20540.465189062441</v>
      </c>
      <c r="C5" s="462">
        <f ca="1">tertiair!C16</f>
        <v>0</v>
      </c>
      <c r="D5" s="462">
        <f ca="1">tertiair!D16</f>
        <v>19380.56548497278</v>
      </c>
      <c r="E5" s="462">
        <f>tertiair!E16</f>
        <v>237.75616546982781</v>
      </c>
      <c r="F5" s="462">
        <f ca="1">tertiair!F16</f>
        <v>3925.2512046644206</v>
      </c>
      <c r="G5" s="462">
        <f>tertiair!G16</f>
        <v>0</v>
      </c>
      <c r="H5" s="462">
        <f>tertiair!H16</f>
        <v>0</v>
      </c>
      <c r="I5" s="462">
        <f>tertiair!I16</f>
        <v>0</v>
      </c>
      <c r="J5" s="462">
        <f>tertiair!J16</f>
        <v>0</v>
      </c>
      <c r="K5" s="462">
        <f>tertiair!K16</f>
        <v>0</v>
      </c>
      <c r="L5" s="462">
        <f ca="1">tertiair!L16</f>
        <v>0</v>
      </c>
      <c r="M5" s="462">
        <f>tertiair!M16</f>
        <v>0</v>
      </c>
      <c r="N5" s="462">
        <f ca="1">tertiair!N16</f>
        <v>1767.1721146298571</v>
      </c>
      <c r="O5" s="462">
        <f>tertiair!O16</f>
        <v>1.5633333333333335</v>
      </c>
      <c r="P5" s="463">
        <f>tertiair!P16</f>
        <v>19.066666666666666</v>
      </c>
      <c r="Q5" s="461">
        <f t="shared" ref="Q5:Q14" ca="1" si="0">SUM(B5:P5)</f>
        <v>45871.840158799328</v>
      </c>
    </row>
    <row r="6" spans="1:17">
      <c r="A6" s="461" t="s">
        <v>194</v>
      </c>
      <c r="B6" s="462">
        <f>'openbare verlichting'!B8</f>
        <v>1773.393</v>
      </c>
      <c r="C6" s="462"/>
      <c r="D6" s="462"/>
      <c r="E6" s="462"/>
      <c r="F6" s="462"/>
      <c r="G6" s="462"/>
      <c r="H6" s="462"/>
      <c r="I6" s="462"/>
      <c r="J6" s="462"/>
      <c r="K6" s="462"/>
      <c r="L6" s="462"/>
      <c r="M6" s="462"/>
      <c r="N6" s="462"/>
      <c r="O6" s="462"/>
      <c r="P6" s="463"/>
      <c r="Q6" s="461">
        <f t="shared" si="0"/>
        <v>1773.393</v>
      </c>
    </row>
    <row r="7" spans="1:17">
      <c r="A7" s="461" t="s">
        <v>112</v>
      </c>
      <c r="B7" s="462">
        <f>landbouw!B8</f>
        <v>418.86626515004565</v>
      </c>
      <c r="C7" s="462">
        <f>landbouw!C8</f>
        <v>0</v>
      </c>
      <c r="D7" s="462">
        <f>landbouw!D8</f>
        <v>280.56238169811201</v>
      </c>
      <c r="E7" s="462">
        <f>landbouw!E8</f>
        <v>5.278254550353795</v>
      </c>
      <c r="F7" s="462">
        <f>landbouw!F8</f>
        <v>1445.1935470370374</v>
      </c>
      <c r="G7" s="462">
        <f>landbouw!G8</f>
        <v>0</v>
      </c>
      <c r="H7" s="462">
        <f>landbouw!H8</f>
        <v>0</v>
      </c>
      <c r="I7" s="462">
        <f>landbouw!I8</f>
        <v>0</v>
      </c>
      <c r="J7" s="462">
        <f>landbouw!J8</f>
        <v>62.992724774913732</v>
      </c>
      <c r="K7" s="462">
        <f>landbouw!K8</f>
        <v>0</v>
      </c>
      <c r="L7" s="462">
        <f>landbouw!L8</f>
        <v>0</v>
      </c>
      <c r="M7" s="462">
        <f>landbouw!M8</f>
        <v>0</v>
      </c>
      <c r="N7" s="462">
        <f>landbouw!N8</f>
        <v>0</v>
      </c>
      <c r="O7" s="462">
        <f>landbouw!O8</f>
        <v>0</v>
      </c>
      <c r="P7" s="463">
        <f>landbouw!P8</f>
        <v>0</v>
      </c>
      <c r="Q7" s="461">
        <f t="shared" si="0"/>
        <v>2212.8931732104629</v>
      </c>
    </row>
    <row r="8" spans="1:17">
      <c r="A8" s="461" t="s">
        <v>657</v>
      </c>
      <c r="B8" s="462">
        <f>industrie!B18</f>
        <v>1945.6556525317992</v>
      </c>
      <c r="C8" s="462">
        <f>industrie!C18</f>
        <v>0</v>
      </c>
      <c r="D8" s="462">
        <f>industrie!D18</f>
        <v>1778.7442238599485</v>
      </c>
      <c r="E8" s="462">
        <f>industrie!E18</f>
        <v>243.58970882490752</v>
      </c>
      <c r="F8" s="462">
        <f>industrie!F18</f>
        <v>1068.675659946854</v>
      </c>
      <c r="G8" s="462">
        <f>industrie!G18</f>
        <v>0</v>
      </c>
      <c r="H8" s="462">
        <f>industrie!H18</f>
        <v>0</v>
      </c>
      <c r="I8" s="462">
        <f>industrie!I18</f>
        <v>0</v>
      </c>
      <c r="J8" s="462">
        <f>industrie!J18</f>
        <v>2.3770374129831304</v>
      </c>
      <c r="K8" s="462">
        <f>industrie!K18</f>
        <v>0</v>
      </c>
      <c r="L8" s="462">
        <f>industrie!L18</f>
        <v>0</v>
      </c>
      <c r="M8" s="462">
        <f>industrie!M18</f>
        <v>0</v>
      </c>
      <c r="N8" s="462">
        <f>industrie!N18</f>
        <v>465.83066391822535</v>
      </c>
      <c r="O8" s="462">
        <f>industrie!O18</f>
        <v>0</v>
      </c>
      <c r="P8" s="463">
        <f>industrie!P18</f>
        <v>0</v>
      </c>
      <c r="Q8" s="461">
        <f t="shared" si="0"/>
        <v>5504.8729464947182</v>
      </c>
    </row>
    <row r="9" spans="1:17" s="467" customFormat="1">
      <c r="A9" s="465" t="s">
        <v>574</v>
      </c>
      <c r="B9" s="466">
        <f>transport!B14</f>
        <v>12.782979130013402</v>
      </c>
      <c r="C9" s="466">
        <f>transport!C14</f>
        <v>0</v>
      </c>
      <c r="D9" s="466">
        <f>transport!D14</f>
        <v>19.728547850383045</v>
      </c>
      <c r="E9" s="466">
        <f>transport!E14</f>
        <v>715.65929663822408</v>
      </c>
      <c r="F9" s="466">
        <f>transport!F14</f>
        <v>0</v>
      </c>
      <c r="G9" s="466">
        <f>transport!G14</f>
        <v>183710.29189859101</v>
      </c>
      <c r="H9" s="466">
        <f>transport!H14</f>
        <v>30570.777449669673</v>
      </c>
      <c r="I9" s="466">
        <f>transport!I14</f>
        <v>0</v>
      </c>
      <c r="J9" s="466">
        <f>transport!J14</f>
        <v>0</v>
      </c>
      <c r="K9" s="466">
        <f>transport!K14</f>
        <v>0</v>
      </c>
      <c r="L9" s="466">
        <f>transport!L14</f>
        <v>0</v>
      </c>
      <c r="M9" s="466">
        <f>transport!M14</f>
        <v>9685.5276194691305</v>
      </c>
      <c r="N9" s="466">
        <f>transport!N14</f>
        <v>0</v>
      </c>
      <c r="O9" s="466">
        <f>transport!O14</f>
        <v>0</v>
      </c>
      <c r="P9" s="466">
        <f>transport!P14</f>
        <v>0</v>
      </c>
      <c r="Q9" s="465">
        <f>SUM(B9:P9)</f>
        <v>224714.76779134842</v>
      </c>
    </row>
    <row r="10" spans="1:17">
      <c r="A10" s="461" t="s">
        <v>564</v>
      </c>
      <c r="B10" s="462">
        <f>transport!B54</f>
        <v>0</v>
      </c>
      <c r="C10" s="462">
        <f>transport!C54</f>
        <v>0</v>
      </c>
      <c r="D10" s="462">
        <f>transport!D54</f>
        <v>0</v>
      </c>
      <c r="E10" s="462">
        <f>transport!E54</f>
        <v>0</v>
      </c>
      <c r="F10" s="462">
        <f>transport!F54</f>
        <v>0</v>
      </c>
      <c r="G10" s="462">
        <f>transport!G54</f>
        <v>2421.224090215956</v>
      </c>
      <c r="H10" s="462">
        <f>transport!H54</f>
        <v>0</v>
      </c>
      <c r="I10" s="462">
        <f>transport!I54</f>
        <v>0</v>
      </c>
      <c r="J10" s="462">
        <f>transport!J54</f>
        <v>0</v>
      </c>
      <c r="K10" s="462">
        <f>transport!K54</f>
        <v>0</v>
      </c>
      <c r="L10" s="462">
        <f>transport!L54</f>
        <v>0</v>
      </c>
      <c r="M10" s="462">
        <f>transport!M54</f>
        <v>107.67775740356156</v>
      </c>
      <c r="N10" s="462">
        <f>transport!N54</f>
        <v>0</v>
      </c>
      <c r="O10" s="462">
        <f>transport!O54</f>
        <v>0</v>
      </c>
      <c r="P10" s="463">
        <f>transport!P54</f>
        <v>0</v>
      </c>
      <c r="Q10" s="461">
        <f t="shared" si="0"/>
        <v>2528.9018476195174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1209.5558340407301</v>
      </c>
      <c r="C14" s="469"/>
      <c r="D14" s="469">
        <f>'SEAP template'!E25</f>
        <v>3272.0680699654299</v>
      </c>
      <c r="E14" s="469"/>
      <c r="F14" s="469"/>
      <c r="G14" s="469"/>
      <c r="H14" s="469"/>
      <c r="I14" s="469"/>
      <c r="J14" s="469"/>
      <c r="K14" s="469"/>
      <c r="L14" s="469"/>
      <c r="M14" s="469"/>
      <c r="N14" s="469"/>
      <c r="O14" s="469"/>
      <c r="P14" s="470"/>
      <c r="Q14" s="461">
        <f t="shared" si="0"/>
        <v>4481.62390400616</v>
      </c>
    </row>
    <row r="15" spans="1:17" s="474" customFormat="1">
      <c r="A15" s="471" t="s">
        <v>568</v>
      </c>
      <c r="B15" s="472">
        <f ca="1">SUM(B4:B14)</f>
        <v>69773.713710819837</v>
      </c>
      <c r="C15" s="472">
        <f t="shared" ref="C15:Q15" ca="1" si="1">SUM(C4:C14)</f>
        <v>0</v>
      </c>
      <c r="D15" s="472">
        <f t="shared" ca="1" si="1"/>
        <v>127867.91788041439</v>
      </c>
      <c r="E15" s="472">
        <f t="shared" si="1"/>
        <v>6644.4390719580069</v>
      </c>
      <c r="F15" s="472">
        <f t="shared" ca="1" si="1"/>
        <v>39797.571600353243</v>
      </c>
      <c r="G15" s="472">
        <f t="shared" si="1"/>
        <v>186131.51598880696</v>
      </c>
      <c r="H15" s="472">
        <f t="shared" si="1"/>
        <v>30570.777449669673</v>
      </c>
      <c r="I15" s="472">
        <f t="shared" si="1"/>
        <v>0</v>
      </c>
      <c r="J15" s="472">
        <f t="shared" si="1"/>
        <v>65.369762187896868</v>
      </c>
      <c r="K15" s="472">
        <f t="shared" si="1"/>
        <v>0</v>
      </c>
      <c r="L15" s="472">
        <f t="shared" ca="1" si="1"/>
        <v>0</v>
      </c>
      <c r="M15" s="472">
        <f t="shared" si="1"/>
        <v>9793.2053768726928</v>
      </c>
      <c r="N15" s="472">
        <f t="shared" ca="1" si="1"/>
        <v>16663.859897471728</v>
      </c>
      <c r="O15" s="472">
        <f t="shared" si="1"/>
        <v>265.76666666666671</v>
      </c>
      <c r="P15" s="472">
        <f t="shared" si="1"/>
        <v>591.06666666666672</v>
      </c>
      <c r="Q15" s="472">
        <f t="shared" ca="1" si="1"/>
        <v>488165.20407188777</v>
      </c>
    </row>
    <row r="17" spans="1:17">
      <c r="A17" s="475" t="s">
        <v>569</v>
      </c>
      <c r="B17" s="781">
        <f ca="1">huishoudens!B10</f>
        <v>0.19719120179147936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8651.3685690098318</v>
      </c>
      <c r="C22" s="462">
        <f t="shared" ref="C22:C32" ca="1" si="3">C4*$C$17</f>
        <v>0</v>
      </c>
      <c r="D22" s="462">
        <f t="shared" ref="D22:D32" si="4">D4*$D$17</f>
        <v>20833.522332757686</v>
      </c>
      <c r="E22" s="462">
        <f t="shared" ref="E22:E32" si="5">E4*$E$17</f>
        <v>1235.3693317497555</v>
      </c>
      <c r="F22" s="462">
        <f t="shared" ref="F22:F32" si="6">F4*$F$17</f>
        <v>8906.706467384216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39626.966700901488</v>
      </c>
    </row>
    <row r="23" spans="1:17">
      <c r="A23" s="461" t="s">
        <v>156</v>
      </c>
      <c r="B23" s="462">
        <f t="shared" ca="1" si="2"/>
        <v>4050.3990159872692</v>
      </c>
      <c r="C23" s="462">
        <f t="shared" ca="1" si="3"/>
        <v>0</v>
      </c>
      <c r="D23" s="462">
        <f t="shared" ca="1" si="4"/>
        <v>3914.8742279645016</v>
      </c>
      <c r="E23" s="462">
        <f t="shared" si="5"/>
        <v>53.970649561650916</v>
      </c>
      <c r="F23" s="462">
        <f t="shared" ca="1" si="6"/>
        <v>1048.0420716454003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9067.2859651588224</v>
      </c>
    </row>
    <row r="24" spans="1:17">
      <c r="A24" s="461" t="s">
        <v>194</v>
      </c>
      <c r="B24" s="462">
        <f t="shared" ca="1" si="2"/>
        <v>349.69749691859698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349.69749691859698</v>
      </c>
    </row>
    <row r="25" spans="1:17">
      <c r="A25" s="461" t="s">
        <v>112</v>
      </c>
      <c r="B25" s="462">
        <f t="shared" ca="1" si="2"/>
        <v>82.596742214845946</v>
      </c>
      <c r="C25" s="462">
        <f t="shared" ca="1" si="3"/>
        <v>0</v>
      </c>
      <c r="D25" s="462">
        <f t="shared" si="4"/>
        <v>56.673601103018626</v>
      </c>
      <c r="E25" s="462">
        <f t="shared" si="5"/>
        <v>1.1981637829303116</v>
      </c>
      <c r="F25" s="462">
        <f t="shared" si="6"/>
        <v>385.86667705888902</v>
      </c>
      <c r="G25" s="462">
        <f t="shared" si="7"/>
        <v>0</v>
      </c>
      <c r="H25" s="462">
        <f t="shared" si="8"/>
        <v>0</v>
      </c>
      <c r="I25" s="462">
        <f t="shared" si="9"/>
        <v>0</v>
      </c>
      <c r="J25" s="462">
        <f t="shared" si="10"/>
        <v>22.299424570319459</v>
      </c>
      <c r="K25" s="462">
        <f t="shared" si="11"/>
        <v>0</v>
      </c>
      <c r="L25" s="462">
        <f t="shared" si="12"/>
        <v>0</v>
      </c>
      <c r="M25" s="462">
        <f t="shared" si="13"/>
        <v>0</v>
      </c>
      <c r="N25" s="462">
        <f t="shared" si="14"/>
        <v>0</v>
      </c>
      <c r="O25" s="462">
        <f t="shared" si="15"/>
        <v>0</v>
      </c>
      <c r="P25" s="463">
        <f t="shared" si="16"/>
        <v>0</v>
      </c>
      <c r="Q25" s="461">
        <f t="shared" ca="1" si="17"/>
        <v>548.63460873000338</v>
      </c>
    </row>
    <row r="26" spans="1:17">
      <c r="A26" s="461" t="s">
        <v>657</v>
      </c>
      <c r="B26" s="462">
        <f t="shared" ca="1" si="2"/>
        <v>383.66617639513049</v>
      </c>
      <c r="C26" s="462">
        <f t="shared" ca="1" si="3"/>
        <v>0</v>
      </c>
      <c r="D26" s="462">
        <f t="shared" si="4"/>
        <v>359.30633321970964</v>
      </c>
      <c r="E26" s="462">
        <f t="shared" si="5"/>
        <v>55.294863903254011</v>
      </c>
      <c r="F26" s="462">
        <f t="shared" si="6"/>
        <v>285.33640120581003</v>
      </c>
      <c r="G26" s="462">
        <f t="shared" si="7"/>
        <v>0</v>
      </c>
      <c r="H26" s="462">
        <f t="shared" si="8"/>
        <v>0</v>
      </c>
      <c r="I26" s="462">
        <f t="shared" si="9"/>
        <v>0</v>
      </c>
      <c r="J26" s="462">
        <f t="shared" si="10"/>
        <v>0.84147124419602815</v>
      </c>
      <c r="K26" s="462">
        <f t="shared" si="11"/>
        <v>0</v>
      </c>
      <c r="L26" s="462">
        <f t="shared" si="12"/>
        <v>0</v>
      </c>
      <c r="M26" s="462">
        <f t="shared" si="13"/>
        <v>0</v>
      </c>
      <c r="N26" s="462">
        <f t="shared" si="14"/>
        <v>0</v>
      </c>
      <c r="O26" s="462">
        <f t="shared" si="15"/>
        <v>0</v>
      </c>
      <c r="P26" s="463">
        <f t="shared" si="16"/>
        <v>0</v>
      </c>
      <c r="Q26" s="461">
        <f t="shared" ca="1" si="17"/>
        <v>1084.4452459681004</v>
      </c>
    </row>
    <row r="27" spans="1:17" s="467" customFormat="1">
      <c r="A27" s="465" t="s">
        <v>574</v>
      </c>
      <c r="B27" s="775">
        <f t="shared" ca="1" si="2"/>
        <v>2.5206910171227421</v>
      </c>
      <c r="C27" s="466">
        <f t="shared" ca="1" si="3"/>
        <v>0</v>
      </c>
      <c r="D27" s="466">
        <f t="shared" si="4"/>
        <v>3.9851666657773754</v>
      </c>
      <c r="E27" s="466">
        <f t="shared" si="5"/>
        <v>162.45466033687688</v>
      </c>
      <c r="F27" s="466">
        <f t="shared" si="6"/>
        <v>0</v>
      </c>
      <c r="G27" s="466">
        <f t="shared" si="7"/>
        <v>49050.6479369238</v>
      </c>
      <c r="H27" s="466">
        <f t="shared" si="8"/>
        <v>7612.1235849677487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56831.732039911323</v>
      </c>
    </row>
    <row r="28" spans="1:17">
      <c r="A28" s="461" t="s">
        <v>564</v>
      </c>
      <c r="B28" s="462">
        <f t="shared" ca="1" si="2"/>
        <v>0</v>
      </c>
      <c r="C28" s="462">
        <f t="shared" ca="1" si="3"/>
        <v>0</v>
      </c>
      <c r="D28" s="462">
        <f t="shared" si="4"/>
        <v>0</v>
      </c>
      <c r="E28" s="462">
        <f t="shared" si="5"/>
        <v>0</v>
      </c>
      <c r="F28" s="462">
        <f t="shared" si="6"/>
        <v>0</v>
      </c>
      <c r="G28" s="462">
        <f t="shared" si="7"/>
        <v>646.46683208766035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646.46683208766035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238.51376854838674</v>
      </c>
      <c r="C32" s="462">
        <f t="shared" ca="1" si="3"/>
        <v>0</v>
      </c>
      <c r="D32" s="462">
        <f t="shared" si="4"/>
        <v>660.95775013301693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899.47151868140372</v>
      </c>
    </row>
    <row r="33" spans="1:17" s="474" customFormat="1">
      <c r="A33" s="471" t="s">
        <v>568</v>
      </c>
      <c r="B33" s="472">
        <f ca="1">SUM(B22:B32)</f>
        <v>13758.762460091184</v>
      </c>
      <c r="C33" s="472">
        <f t="shared" ref="C33:Q33" ca="1" si="18">SUM(C22:C32)</f>
        <v>0</v>
      </c>
      <c r="D33" s="472">
        <f t="shared" ca="1" si="18"/>
        <v>25829.31941184371</v>
      </c>
      <c r="E33" s="472">
        <f t="shared" si="18"/>
        <v>1508.2876693344676</v>
      </c>
      <c r="F33" s="472">
        <f t="shared" ca="1" si="18"/>
        <v>10625.951617294317</v>
      </c>
      <c r="G33" s="472">
        <f t="shared" si="18"/>
        <v>49697.114769011459</v>
      </c>
      <c r="H33" s="472">
        <f t="shared" si="18"/>
        <v>7612.1235849677487</v>
      </c>
      <c r="I33" s="472">
        <f t="shared" si="18"/>
        <v>0</v>
      </c>
      <c r="J33" s="472">
        <f t="shared" si="18"/>
        <v>23.140895814515488</v>
      </c>
      <c r="K33" s="472">
        <f t="shared" si="18"/>
        <v>0</v>
      </c>
      <c r="L33" s="472">
        <f t="shared" ca="1" si="18"/>
        <v>0</v>
      </c>
      <c r="M33" s="472">
        <f t="shared" si="18"/>
        <v>0</v>
      </c>
      <c r="N33" s="472">
        <f t="shared" ca="1" si="18"/>
        <v>0</v>
      </c>
      <c r="O33" s="472">
        <f t="shared" si="18"/>
        <v>0</v>
      </c>
      <c r="P33" s="472">
        <f t="shared" si="18"/>
        <v>0</v>
      </c>
      <c r="Q33" s="472">
        <f t="shared" ca="1" si="18"/>
        <v>109054.7004083574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7516.8700000000008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7516.8700000000008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0.19719120179147936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0.19719120179147936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2019-08-12T08:01:54Z</dcterms:modified>
</cp:coreProperties>
</file>