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2" l="1"/>
  <c r="H17" s="1"/>
  <c r="H20" s="1"/>
  <c r="B102"/>
  <c r="C17" s="1"/>
  <c r="G102"/>
  <c r="I17" s="1"/>
  <c r="C102"/>
  <c r="F102"/>
  <c r="I101"/>
  <c r="H8" s="1"/>
  <c r="H10" s="1"/>
  <c r="H101"/>
  <c r="D101"/>
  <c r="G101"/>
  <c r="I8" s="1"/>
  <c r="I10" s="1"/>
  <c r="B101"/>
  <c r="C8" s="1"/>
  <c r="C10" s="1"/>
  <c r="C101"/>
  <c r="F101"/>
  <c r="O9"/>
  <c r="B10"/>
  <c r="B20"/>
  <c r="O19"/>
  <c r="I20"/>
  <c r="C20"/>
  <c r="D102"/>
  <c r="H102"/>
  <c r="E101"/>
  <c r="E8" s="1"/>
  <c r="E10" s="1"/>
  <c r="E102"/>
  <c r="E17" s="1"/>
  <c r="E20" s="1"/>
  <c r="N6" i="17"/>
  <c r="J8" i="18" l="1"/>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P28" i="48" l="1"/>
  <c r="Q11"/>
  <c r="O28"/>
  <c r="D22" i="14"/>
  <c r="L20" i="59"/>
  <c r="N10"/>
  <c r="P32" i="48"/>
  <c r="D14"/>
  <c r="L10" i="59"/>
  <c r="E10"/>
  <c r="L78" i="14"/>
  <c r="L9" i="59"/>
  <c r="K78" i="14"/>
  <c r="K8" i="59"/>
  <c r="K10" s="1"/>
  <c r="E90" i="14"/>
  <c r="E18" i="59"/>
  <c r="E20" s="1"/>
  <c r="K22" i="14"/>
  <c r="L22"/>
  <c r="K20" i="59"/>
  <c r="G22" i="14"/>
  <c r="O22"/>
  <c r="P22"/>
  <c r="N78"/>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30"/>
  <c r="E24"/>
  <c r="M32"/>
  <c r="M29"/>
  <c r="M26"/>
  <c r="M25"/>
  <c r="M30"/>
  <c r="M24"/>
  <c r="M22"/>
  <c r="M23"/>
  <c r="L10" i="14"/>
  <c r="L16" s="1"/>
  <c r="L27" s="1"/>
  <c r="K5" i="48"/>
  <c r="K32"/>
  <c r="K28"/>
  <c r="K26"/>
  <c r="K22"/>
  <c r="K31"/>
  <c r="K25"/>
  <c r="K29"/>
  <c r="K27"/>
  <c r="K30"/>
  <c r="K24"/>
  <c r="C24" i="14"/>
  <c r="C26" s="1"/>
  <c r="B7" i="48"/>
  <c r="J32"/>
  <c r="J29"/>
  <c r="J31"/>
  <c r="J27"/>
  <c r="J30"/>
  <c r="J28"/>
  <c r="J24"/>
  <c r="I29"/>
  <c r="I27"/>
  <c r="I31"/>
  <c r="I26"/>
  <c r="I32"/>
  <c r="I25"/>
  <c r="I30"/>
  <c r="I24"/>
  <c r="I28"/>
  <c r="I22"/>
  <c r="H26"/>
  <c r="H32"/>
  <c r="H25"/>
  <c r="H29"/>
  <c r="H30"/>
  <c r="H28"/>
  <c r="H24"/>
  <c r="H22"/>
  <c r="H23"/>
  <c r="D11" i="14"/>
  <c r="C4" i="48"/>
  <c r="N46" i="14"/>
  <c r="D28" i="48"/>
  <c r="D30"/>
  <c r="D29"/>
  <c r="D24"/>
  <c r="D31"/>
  <c r="D32"/>
  <c r="L28"/>
  <c r="L29"/>
  <c r="L32"/>
  <c r="L31"/>
  <c r="L24"/>
  <c r="L22"/>
  <c r="L27"/>
  <c r="L30"/>
  <c r="Q10" i="14"/>
  <c r="P5" i="48"/>
  <c r="P23" s="1"/>
  <c r="Q11" i="14"/>
  <c r="P4" i="48"/>
  <c r="O4"/>
  <c r="P11" i="14"/>
  <c r="D4" i="48"/>
  <c r="D22" s="1"/>
  <c r="E11" i="14"/>
  <c r="G32" i="48"/>
  <c r="G26"/>
  <c r="G22"/>
  <c r="G29"/>
  <c r="G25"/>
  <c r="G30"/>
  <c r="G24"/>
  <c r="G23"/>
  <c r="C11" i="14"/>
  <c r="B4" i="48"/>
  <c r="F32"/>
  <c r="F24"/>
  <c r="F27"/>
  <c r="F31"/>
  <c r="F28"/>
  <c r="F29"/>
  <c r="F30"/>
  <c r="N29"/>
  <c r="N32"/>
  <c r="N31"/>
  <c r="N30"/>
  <c r="N27"/>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E9" i="48"/>
  <c r="F20" i="14"/>
  <c r="F22" s="1"/>
  <c r="P22" i="16"/>
  <c r="Q43" i="14" s="1"/>
  <c r="Q13"/>
  <c r="Q16" s="1"/>
  <c r="Q27" s="1"/>
  <c r="P8" i="48"/>
  <c r="P26" s="1"/>
  <c r="D9"/>
  <c r="D27" s="1"/>
  <c r="E20" i="14"/>
  <c r="E22" s="1"/>
  <c r="P22" i="48"/>
  <c r="P33" s="1"/>
  <c r="P15"/>
  <c r="B9"/>
  <c r="C20" i="14"/>
  <c r="O5" i="48"/>
  <c r="O23" s="1"/>
  <c r="P10" i="14"/>
  <c r="O22" i="48"/>
  <c r="F4"/>
  <c r="F22" s="1"/>
  <c r="G11" i="14"/>
  <c r="K24"/>
  <c r="K26" s="1"/>
  <c r="J7" i="48"/>
  <c r="J25" s="1"/>
  <c r="L46" i="14"/>
  <c r="L61" s="1"/>
  <c r="L63" s="1"/>
  <c r="G13" i="48"/>
  <c r="H18" i="14"/>
  <c r="H13" i="48"/>
  <c r="H31" s="1"/>
  <c r="I18" i="14"/>
  <c r="J10"/>
  <c r="J16" s="1"/>
  <c r="J27" s="1"/>
  <c r="I5" i="48"/>
  <c r="M12" i="22"/>
  <c r="M13" i="48"/>
  <c r="M31" s="1"/>
  <c r="N18" i="14"/>
  <c r="K23" i="48"/>
  <c r="K33" s="1"/>
  <c r="K15"/>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I23"/>
  <c r="I33" s="1"/>
  <c r="I15"/>
  <c r="M9"/>
  <c r="N20" i="14"/>
  <c r="H20"/>
  <c r="G9" i="48"/>
  <c r="O8"/>
  <c r="O26" s="1"/>
  <c r="P13" i="14"/>
  <c r="P16" s="1"/>
  <c r="P27" s="1"/>
  <c r="E27" i="48"/>
  <c r="G31"/>
  <c r="Q13"/>
  <c r="G10"/>
  <c r="H19" i="14"/>
  <c r="M10" i="48"/>
  <c r="M28" s="1"/>
  <c r="N19" i="14"/>
  <c r="N22" s="1"/>
  <c r="N27" s="1"/>
  <c r="E7" i="48"/>
  <c r="E25" s="1"/>
  <c r="F24" i="14"/>
  <c r="F26" s="1"/>
  <c r="O33" i="48"/>
  <c r="R18" i="14"/>
  <c r="P46"/>
  <c r="P61" s="1"/>
  <c r="Q46"/>
  <c r="Q61" s="1"/>
  <c r="Q63" s="1"/>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H52"/>
  <c r="H61" s="1"/>
  <c r="E20" i="15"/>
  <c r="F40" i="14" s="1"/>
  <c r="F10"/>
  <c r="E5" i="48"/>
  <c r="E23" s="1"/>
  <c r="K10" i="14"/>
  <c r="J5" i="48"/>
  <c r="J23" s="1"/>
  <c r="G28"/>
  <c r="Q10"/>
  <c r="P63" i="14"/>
  <c r="R11"/>
  <c r="H22"/>
  <c r="H27" s="1"/>
  <c r="J22" i="48"/>
  <c r="H9"/>
  <c r="I20" i="14"/>
  <c r="M27" i="48"/>
  <c r="M33" s="1"/>
  <c r="M15"/>
  <c r="E22"/>
  <c r="Q4"/>
  <c r="G27"/>
  <c r="G33" s="1"/>
  <c r="G15"/>
  <c r="R19" i="14"/>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I22"/>
  <c r="I27" s="1"/>
  <c r="I63" s="1"/>
  <c r="R20"/>
  <c r="J22" i="16"/>
  <c r="K43" i="14" s="1"/>
  <c r="K46" s="1"/>
  <c r="K61" s="1"/>
  <c r="J8" i="48"/>
  <c r="K13" i="14"/>
  <c r="K16" s="1"/>
  <c r="K27" s="1"/>
  <c r="E8" i="48"/>
  <c r="F13" i="14"/>
  <c r="F16" s="1"/>
  <c r="F27" s="1"/>
  <c r="H27" i="48"/>
  <c r="H33" s="1"/>
  <c r="H15"/>
  <c r="Q9"/>
  <c r="H63" i="14"/>
  <c r="E22" i="16"/>
  <c r="F43" i="14" s="1"/>
  <c r="F46" s="1"/>
  <c r="F61"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<sst xmlns="http://schemas.openxmlformats.org/spreadsheetml/2006/main" count="2432" uniqueCount="913">
  <si>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</si>
  <si>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</si>
  <si>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</si>
  <si>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</si>
  <si>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</si>
  <si>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</si>
  <si>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</si>
  <si>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</si>
  <si>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</si>
  <si>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</si>
  <si>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</si>
  <si>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</si>
  <si>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</si>
  <si>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</si>
  <si>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</si>
  <si>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</si>
  <si>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</si>
  <si>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</si>
  <si>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</si>
  <si>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</si>
  <si>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</si>
  <si>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</si>
  <si>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</si>
  <si>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</si>
  <si>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</si>
  <si>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</si>
  <si>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</si>
  <si>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</si>
  <si>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</si>
  <si>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</si>
  <si>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</si>
  <si>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</si>
  <si>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</si>
  <si>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</si>
  <si>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</si>
  <si>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</si>
  <si>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</si>
  <si>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</si>
  <si>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</si>
  <si>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</si>
  <si>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</si>
  <si>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</si>
  <si>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</si>
  <si>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</si>
  <si>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</si>
  <si>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</si>
  <si>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</si>
  <si>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</si>
  <si>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</si>
  <si>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</si>
  <si>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</si>
  <si>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</si>
  <si>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</si>
  <si>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</si>
  <si>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</si>
  <si>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</si>
  <si>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</si>
  <si>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</si>
  <si>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</si>
  <si>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</si>
  <si>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</si>
  <si>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</si>
  <si>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</si>
  <si>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</si>
  <si>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</si>
  <si>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</si>
  <si>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</si>
  <si>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</si>
  <si>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</si>
  <si>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</si>
  <si>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</si>
  <si>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</si>
  <si>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</si>
  <si>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</si>
  <si>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</si>
  <si>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</si>
  <si>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</si>
  <si>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</si>
  <si>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</si>
  <si>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</si>
  <si>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</si>
  <si>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</si>
  <si>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</si>
  <si>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</si>
  <si>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</si>
  <si>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</si>
  <si>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</si>
  <si>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</si>
  <si>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</si>
  <si>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</si>
  <si>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</si>
  <si>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</si>
  <si>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</si>
  <si>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</si>
  <si>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</si>
  <si>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</si>
  <si>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</si>
  <si>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</si>
  <si>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</si>
  <si>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</si>
  <si>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</si>
  <si>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</si>
  <si>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</si>
  <si>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</si>
  <si>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</si>
  <si>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</si>
  <si>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</si>
  <si>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</si>
  <si>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</si>
  <si>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</si>
  <si>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</si>
  <si>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</si>
  <si>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</si>
  <si>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</si>
  <si>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</si>
  <si>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</si>
  <si>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</si>
  <si>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</si>
  <si>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</si>
  <si>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</si>
  <si>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</si>
  <si>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</si>
  <si>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</si>
  <si>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</si>
  <si>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</si>
  <si>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</si>
  <si>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</si>
  <si>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</si>
  <si>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</si>
  <si>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</si>
  <si>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</si>
  <si>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</si>
  <si>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</si>
  <si>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</si>
  <si>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</si>
  <si>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</si>
  <si>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</si>
  <si>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</si>
  <si>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</si>
  <si>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</si>
  <si>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</si>
  <si>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</si>
  <si>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</si>
  <si>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</si>
  <si>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</si>
  <si>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</si>
  <si>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</si>
  <si>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</si>
  <si>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</si>
  <si>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</si>
  <si>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</si>
  <si>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</si>
  <si>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</si>
  <si>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</si>
  <si>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</si>
  <si>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</si>
  <si>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</si>
  <si>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</si>
  <si>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</si>
  <si>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</si>
  <si>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</si>
  <si>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</si>
  <si>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</si>
  <si>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</si>
  <si>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</si>
  <si>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</si>
  <si>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</si>
  <si>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</si>
  <si>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</si>
  <si>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</si>
  <si>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</si>
  <si>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</si>
  <si>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</si>
  <si>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</si>
  <si>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</si>
  <si>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</si>
  <si>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</si>
  <si>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</si>
  <si>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</si>
  <si>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</si>
  <si>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</si>
  <si>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</si>
  <si>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</si>
  <si>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</si>
  <si>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</si>
  <si>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</si>
  <si>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</si>
  <si>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</si>
  <si>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</si>
  <si>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</si>
  <si>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</si>
  <si>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</si>
  <si>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</si>
  <si>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</si>
  <si>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</si>
  <si>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</si>
  <si>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</si>
  <si>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</si>
  <si>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</si>
  <si>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</si>
  <si>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</si>
  <si>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</si>
  <si>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</si>
  <si>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</si>
  <si>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</si>
  <si>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</si>
  <si>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</si>
  <si>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</si>
  <si>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</si>
  <si>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</si>
  <si>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</si>
  <si>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</si>
  <si>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</si>
  <si>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</si>
  <si>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</si>
  <si>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</si>
  <si>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</si>
  <si>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</si>
  <si>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</si>
  <si>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</si>
  <si>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</si>
  <si>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</si>
  <si>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</si>
  <si>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</si>
  <si>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</si>
  <si>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</si>
  <si>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</si>
  <si>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</si>
  <si>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</si>
  <si>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</si>
  <si>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</si>
  <si>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</si>
  <si>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</si>
  <si>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</si>
  <si>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</si>
  <si>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</si>
  <si>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</si>
  <si>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</si>
  <si>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</si>
  <si>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</si>
  <si>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</si>
  <si>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</si>
  <si>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</si>
  <si>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</si>
  <si>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</si>
  <si>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</si>
  <si>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</si>
  <si>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</si>
  <si>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</si>
  <si>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</si>
  <si>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</si>
  <si>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</si>
  <si>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</si>
  <si>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</si>
  <si>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</si>
  <si>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</si>
  <si>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</si>
  <si>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</si>
  <si>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</si>
  <si>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</si>
  <si>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</si>
  <si>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</si>
  <si>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</si>
  <si>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</si>
  <si>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</si>
  <si>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</si>
  <si>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</si>
  <si>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</si>
  <si>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</si>
  <si>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</si>
  <si>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</si>
  <si>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</si>
  <si>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</si>
  <si>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</si>
  <si>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</si>
  <si>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</si>
  <si>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</si>
  <si>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</si>
  <si>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</si>
  <si>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</si>
  <si>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</si>
  <si>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</si>
  <si>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</si>
  <si>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</si>
  <si>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</si>
  <si>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</si>
  <si>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</si>
  <si>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</si>
  <si>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</si>
  <si>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</si>
  <si>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</si>
  <si>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</si>
  <si>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</si>
  <si>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</si>
  <si>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</si>
  <si>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</si>
  <si>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</si>
  <si>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</si>
  <si>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</si>
  <si>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</si>
  <si>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</si>
  <si>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</si>
  <si>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</si>
  <si>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</si>
  <si>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</si>
  <si>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</si>
  <si>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</si>
  <si>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</si>
  <si>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</si>
  <si>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</si>
  <si>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</si>
  <si>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</si>
  <si>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</si>
  <si>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</si>
  <si>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</si>
  <si>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</si>
  <si>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</si>
  <si>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</si>
  <si>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</si>
  <si>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</si>
  <si>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</si>
  <si>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</si>
  <si>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</si>
  <si>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</si>
  <si>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</si>
  <si>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</si>
  <si>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</si>
  <si>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</si>
  <si>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</si>
  <si>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</si>
  <si>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</si>
  <si>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</si>
  <si>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</si>
  <si>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</si>
  <si>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</si>
  <si>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</si>
  <si>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</si>
  <si>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</si>
  <si>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</si>
  <si>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</si>
  <si>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</si>
  <si>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</si>
  <si>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</si>
  <si>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</si>
  <si>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</si>
  <si>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</si>
  <si>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</si>
  <si>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</si>
  <si>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</si>
  <si>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</si>
  <si>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</si>
  <si>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</si>
  <si>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</si>
  <si>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</si>
  <si>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</si>
  <si>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</si>
  <si>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</si>
  <si>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</si>
  <si>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</si>
  <si>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</si>
  <si>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</si>
  <si>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</si>
  <si>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</si>
  <si>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</si>
  <si>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</si>
  <si>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</si>
  <si>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</si>
  <si>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</si>
  <si>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</si>
  <si>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</si>
  <si>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</si>
  <si>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</si>
  <si>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</si>
  <si>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</si>
  <si>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</si>
  <si>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</si>
  <si>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</si>
  <si>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</si>
  <si>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</si>
  <si>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</si>
  <si>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</si>
  <si>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</si>
  <si>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</si>
  <si>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</si>
  <si>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</si>
  <si>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</si>
  <si>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</si>
  <si>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</si>
  <si>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</si>
  <si>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</si>
  <si>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</si>
  <si>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</si>
  <si>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</si>
  <si>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</si>
  <si>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</si>
  <si>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</si>
  <si>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</si>
  <si>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</si>
  <si>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</si>
  <si>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</si>
  <si>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</si>
  <si>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</si>
  <si>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</si>
  <si>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</si>
  <si>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</si>
  <si>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</si>
  <si>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</si>
  <si>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</si>
  <si>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</si>
  <si>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</si>
  <si>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</si>
  <si>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</si>
  <si>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</si>
  <si>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</si>
  <si>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</si>
  <si>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</si>
  <si>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</si>
  <si>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</si>
  <si>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</si>
  <si>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</si>
  <si>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</si>
  <si>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</si>
  <si>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</si>
  <si>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</si>
  <si>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</si>
  <si>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</si>
  <si>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</si>
  <si>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</si>
  <si>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</si>
  <si>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</si>
  <si>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</si>
  <si>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</si>
  <si>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</si>
  <si>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</si>
  <si>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</si>
  <si>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</si>
  <si>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</si>
  <si>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</si>
  <si>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</si>
  <si>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</si>
  <si>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</si>
  <si>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</si>
  <si>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</si>
  <si>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</si>
  <si>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</si>
  <si>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</si>
  <si>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</si>
  <si>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</si>
  <si>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</si>
  <si>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</si>
  <si>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</si>
  <si>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</si>
  <si>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</si>
  <si>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</si>
  <si>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</si>
  <si>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</si>
  <si>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</si>
  <si>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</si>
  <si>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</si>
  <si>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</si>
  <si>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</si>
  <si>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</si>
  <si>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</si>
  <si>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</si>
  <si>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</si>
  <si>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</si>
  <si>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</si>
  <si>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</si>
  <si>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</si>
  <si>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</si>
  <si>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</si>
  <si>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</si>
  <si>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</si>
  <si>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</si>
  <si>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</si>
  <si>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</si>
  <si>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</si>
  <si>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</si>
  <si>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</si>
  <si>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</si>
  <si>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</si>
  <si>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</si>
  <si>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</si>
  <si>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</si>
  <si>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</si>
  <si>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</si>
  <si>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</si>
  <si>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</si>
  <si>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</si>
  <si>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</si>
  <si>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</si>
  <si>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</si>
  <si>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</si>
  <si>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</si>
  <si>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</si>
  <si>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</si>
  <si>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</si>
  <si>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</si>
  <si>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</si>
  <si>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</si>
  <si>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</si>
  <si>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</si>
  <si>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</si>
  <si>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</si>
  <si>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</si>
  <si>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</si>
  <si>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</si>
  <si>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</si>
  <si>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</si>
  <si>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</si>
  <si>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</si>
  <si>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</si>
  <si>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</si>
  <si>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</si>
  <si>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</si>
  <si>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</si>
  <si>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</si>
  <si>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</si>
  <si>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</si>
  <si>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</si>
  <si>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</si>
  <si>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</si>
  <si>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</si>
  <si>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</si>
  <si>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</si>
  <si>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</si>
  <si>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</si>
  <si>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</si>
  <si>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</si>
  <si>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</si>
  <si>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</si>
  <si>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</si>
  <si>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</si>
  <si>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</si>
  <si>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</si>
  <si>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</si>
  <si>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</si>
  <si>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</si>
  <si>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</si>
  <si>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</si>
  <si>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</si>
  <si>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</si>
  <si>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</si>
  <si>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</si>
  <si>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</si>
  <si>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</si>
  <si>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</si>
  <si>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</si>
  <si>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</si>
  <si>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</si>
  <si>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</si>
  <si>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</si>
  <si>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</si>
  <si>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</si>
  <si>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</si>
  <si>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</si>
  <si>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</si>
  <si>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</si>
  <si>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</si>
  <si>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</si>
  <si>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</si>
  <si>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</si>
  <si>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</si>
  <si>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</si>
  <si>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</si>
  <si>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</si>
  <si>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</si>
  <si>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</si>
  <si>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</si>
  <si>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</si>
  <si>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</si>
  <si>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</si>
  <si>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</si>
  <si>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</si>
  <si>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</si>
  <si>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</si>
  <si>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</si>
  <si>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</si>
  <si>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</si>
  <si>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</si>
  <si>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</si>
  <si>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</si>
  <si>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</si>
  <si>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</si>
  <si>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</si>
  <si>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</si>
  <si>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</si>
  <si>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</si>
  <si>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</si>
  <si>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</si>
  <si>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</si>
  <si>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</si>
  <si>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</si>
  <si>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</si>
  <si>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</si>
  <si>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</si>
  <si>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</si>
  <si>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</si>
  <si>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</si>
  <si>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</si>
  <si>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</si>
  <si>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</si>
  <si>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</si>
  <si>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</si>
  <si>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</si>
  <si>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</si>
  <si>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</si>
  <si>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</si>
  <si>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</si>
  <si>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</si>
  <si>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</si>
  <si>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</si>
  <si>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</si>
  <si>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</si>
  <si>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</si>
  <si>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</si>
  <si>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</si>
  <si>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</si>
  <si>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</si>
  <si>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</si>
  <si>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</si>
  <si>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</si>
  <si>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</si>
  <si>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</si>
  <si>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</si>
  <si>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</si>
  <si>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</si>
  <si>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</si>
  <si>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</si>
  <si>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</si>
  <si>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</si>
  <si>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</si>
  <si>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</si>
  <si>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</si>
  <si>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</si>
  <si>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</si>
  <si>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</si>
  <si>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</si>
  <si>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</si>
  <si>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</si>
  <si>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</si>
  <si>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</si>
  <si>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</si>
  <si>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</si>
  <si>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</si>
  <si>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</si>
  <si>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</si>
  <si>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</si>
  <si>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</si>
  <si>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</si>
  <si>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</si>
  <si>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</si>
  <si>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</si>
  <si>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</si>
  <si>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</si>
  <si>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</si>
  <si>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</si>
  <si>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</si>
  <si>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</si>
  <si>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</si>
  <si>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</si>
  <si>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</si>
  <si>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</si>
  <si>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</si>
  <si>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</si>
  <si>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</si>
  <si>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</si>
  <si>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</si>
  <si>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</si>
  <si>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</si>
  <si>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</si>
  <si>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</si>
  <si>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</si>
  <si>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</si>
  <si>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</si>
  <si>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</si>
  <si>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</si>
  <si>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</si>
  <si>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</si>
  <si>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</si>
  <si>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</si>
  <si>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</si>
  <si>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</si>
  <si>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</si>
  <si>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</si>
  <si>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</si>
  <si>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</si>
  <si>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</si>
  <si>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</si>
  <si>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</si>
  <si>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</si>
  <si>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</si>
  <si>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</si>
  <si>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</si>
  <si>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</si>
  <si>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</si>
  <si>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</si>
  <si>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</si>
  <si>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</si>
  <si>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</si>
  <si>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</si>
  <si>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</si>
  <si>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</si>
  <si>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</si>
  <si>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</si>
  <si>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</si>
  <si>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</si>
  <si>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</si>
  <si>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</si>
  <si>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</si>
  <si>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</si>
  <si>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</si>
  <si>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</si>
  <si>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</si>
  <si>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</si>
  <si>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</si>
  <si>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</si>
  <si>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</si>
  <si>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</si>
  <si>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</si>
  <si>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</si>
  <si>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</si>
  <si>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</si>
  <si>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</si>
  <si>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</si>
  <si>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</si>
  <si>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</si>
  <si>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</si>
  <si>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</si>
  <si>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</si>
  <si>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</si>
  <si>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</si>
  <si>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</si>
  <si>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</si>
  <si>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</si>
  <si>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</si>
  <si>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</si>
  <si>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</si>
  <si>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</si>
  <si>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</si>
  <si>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</si>
  <si>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</si>
  <si>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</si>
  <si>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</si>
  <si>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</si>
  <si>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</si>
  <si>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</si>
  <si>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</si>
  <si>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</si>
  <si>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</si>
  <si>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</si>
  <si>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</si>
  <si>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</si>
  <si>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</si>
  <si>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</si>
  <si>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</si>
  <si>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</si>
  <si>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</si>
  <si>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</si>
  <si>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</si>
  <si>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</si>
  <si>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</si>
  <si>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</si>
  <si>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</si>
  <si>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</si>
  <si>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</si>
  <si>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</si>
  <si>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</si>
  <si>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</si>
  <si>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</si>
  <si>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</si>
  <si>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</si>
  <si>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</si>
  <si>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</si>
  <si>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</si>
  <si>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</si>
  <si>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</si>
  <si>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</si>
  <si>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</si>
  <si>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</si>
  <si>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</si>
  <si>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</si>
  <si>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</si>
  <si>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</si>
  <si>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</si>
  <si>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</si>
  <si>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</si>
  <si>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</si>
  <si>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</si>
  <si>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</si>
  <si>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</si>
  <si>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</si>
  <si>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</si>
  <si>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</si>
  <si>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</si>
  <si>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</si>
  <si>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</si>
  <si>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</si>
  <si>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</si>
  <si>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</si>
  <si>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</si>
  <si>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</si>
  <si>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</si>
  <si>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</si>
  <si>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</si>
  <si>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</si>
  <si>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</si>
  <si>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</si>
  <si>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</si>
  <si>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</si>
  <si>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</si>
  <si>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</si>
  <si>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</si>
  <si>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</si>
  <si>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</si>
  <si>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</si>
  <si>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</si>
  <si>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</si>
  <si>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</si>
  <si>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</si>
  <si>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</si>
  <si>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</si>
  <si>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</si>
  <si>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</si>
  <si>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</si>
  <si>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</si>
  <si>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</si>
  <si>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</si>
  <si>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</si>
  <si>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</si>
  <si>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</si>
  <si>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</si>
  <si>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</si>
  <si>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</si>
  <si>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</si>
  <si>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</si>
  <si>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</si>
  <si>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</si>
  <si>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</si>
  <si>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</si>
  <si>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</si>
  <si>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</si>
  <si>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</si>
  <si>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</si>
  <si>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</si>
  <si>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</si>
  <si>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</si>
  <si>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</si>
  <si>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</si>
  <si>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</si>
  <si>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</si>
  <si>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</si>
  <si>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</si>
  <si>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</si>
  <si>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</si>
  <si>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</si>
  <si>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</si>
  <si>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</si>
  <si>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</si>
  <si>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</si>
  <si>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</si>
  <si>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</si>
  <si>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</si>
  <si>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</si>
  <si>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</si>
  <si>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</si>
  <si>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</si>
  <si>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</si>
  <si>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</si>
  <si>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</si>
  <si>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</si>
  <si>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</si>
  <si>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</si>
  <si>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</si>
  <si>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</si>
  <si>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</si>
  <si>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</si>
  <si>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</si>
  <si>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</si>
  <si>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</si>
  <si>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</si>
  <si>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</si>
  <si>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</si>
  <si>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</si>
  <si>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</si>
  <si>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</si>
  <si>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</si>
  <si>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</si>
  <si>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</si>
  <si>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</si>
  <si>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</si>
  <si>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</si>
  <si>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</si>
  <si>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</si>
  <si>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</si>
  <si>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</si>
  <si>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</si>
  <si>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</si>
  <si>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</si>
  <si>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</si>
  <si>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</si>
  <si>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</si>
  <si>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</si>
  <si>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</si>
  <si>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</si>
  <si>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</si>
  <si>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23009</t>
  </si>
  <si>
    <t>BEVER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</si>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</sst>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26043.10854527881</c:v>
                </c:pt>
                <c:pt idx="1">
                  <c:v>1925.9711816384804</c:v>
                </c:pt>
                <c:pt idx="2">
                  <c:v>171.65799999999999</c:v>
                </c:pt>
                <c:pt idx="3">
                  <c:v>2289.3486256472283</c:v>
                </c:pt>
                <c:pt idx="4">
                  <c:v>175.86939118444056</c:v>
                </c:pt>
                <c:pt idx="5">
                  <c:v>7287.5398158922017</c:v>
                </c:pt>
                <c:pt idx="6">
                  <c:v>139.15337942732259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26043.10854527881</c:v>
                </c:pt>
                <c:pt idx="1">
                  <c:v>1925.9711816384804</c:v>
                </c:pt>
                <c:pt idx="2">
                  <c:v>171.65799999999999</c:v>
                </c:pt>
                <c:pt idx="3">
                  <c:v>2289.3486256472283</c:v>
                </c:pt>
                <c:pt idx="4">
                  <c:v>175.86939118444056</c:v>
                </c:pt>
                <c:pt idx="5">
                  <c:v>7287.5398158922017</c:v>
                </c:pt>
                <c:pt idx="6">
                  <c:v>139.15337942732259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5117.715336016975</c:v>
                </c:pt>
                <c:pt idx="2">
                  <c:v>393.49102017335349</c:v>
                </c:pt>
                <c:pt idx="3">
                  <c:v>35.395846976952569</c:v>
                </c:pt>
                <c:pt idx="4">
                  <c:v>587.32640108842543</c:v>
                </c:pt>
                <c:pt idx="5">
                  <c:v>33.355842516856448</c:v>
                </c:pt>
                <c:pt idx="6">
                  <c:v>1835.3469623706287</c:v>
                </c:pt>
                <c:pt idx="7">
                  <c:v>35.571979378065585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5117.715336016975</c:v>
                </c:pt>
                <c:pt idx="2">
                  <c:v>393.49102017335349</c:v>
                </c:pt>
                <c:pt idx="3">
                  <c:v>35.395846976952569</c:v>
                </c:pt>
                <c:pt idx="4">
                  <c:v>587.32640108842543</c:v>
                </c:pt>
                <c:pt idx="5">
                  <c:v>33.355842516856448</c:v>
                </c:pt>
                <c:pt idx="6">
                  <c:v>1835.3469623706287</c:v>
                </c:pt>
                <c:pt idx="7">
                  <c:v>35.571979378065585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23009</v>
      </c>
      <c r="B6" s="398"/>
      <c r="C6" s="399"/>
    </row>
    <row r="7" spans="1:7" s="396" customFormat="1" ht="15.75" customHeight="1">
      <c r="A7" s="400" t="str">
        <f>txtMunicipality</f>
        <v>BEVER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0.20619980995323592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0.20619980995323592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23009</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857</v>
      </c>
      <c r="C9" s="338">
        <v>906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1465</v>
      </c>
    </row>
    <row r="15" spans="1:6">
      <c r="A15" s="1295" t="s">
        <v>184</v>
      </c>
      <c r="B15" s="335">
        <v>13</v>
      </c>
    </row>
    <row r="16" spans="1:6">
      <c r="A16" s="1295" t="s">
        <v>6</v>
      </c>
      <c r="B16" s="335">
        <v>320</v>
      </c>
    </row>
    <row r="17" spans="1:6">
      <c r="A17" s="1295" t="s">
        <v>7</v>
      </c>
      <c r="B17" s="335">
        <v>743</v>
      </c>
    </row>
    <row r="18" spans="1:6">
      <c r="A18" s="1295" t="s">
        <v>8</v>
      </c>
      <c r="B18" s="335">
        <v>793</v>
      </c>
    </row>
    <row r="19" spans="1:6">
      <c r="A19" s="1295" t="s">
        <v>9</v>
      </c>
      <c r="B19" s="335">
        <v>654</v>
      </c>
    </row>
    <row r="20" spans="1:6">
      <c r="A20" s="1295" t="s">
        <v>10</v>
      </c>
      <c r="B20" s="335">
        <v>575</v>
      </c>
    </row>
    <row r="21" spans="1:6">
      <c r="A21" s="1295" t="s">
        <v>11</v>
      </c>
      <c r="B21" s="335">
        <v>8</v>
      </c>
    </row>
    <row r="22" spans="1:6">
      <c r="A22" s="1295" t="s">
        <v>12</v>
      </c>
      <c r="B22" s="335">
        <v>15</v>
      </c>
    </row>
    <row r="23" spans="1:6">
      <c r="A23" s="1295" t="s">
        <v>13</v>
      </c>
      <c r="B23" s="335">
        <v>0</v>
      </c>
    </row>
    <row r="24" spans="1:6">
      <c r="A24" s="1295" t="s">
        <v>14</v>
      </c>
      <c r="B24" s="335">
        <v>0</v>
      </c>
    </row>
    <row r="25" spans="1:6">
      <c r="A25" s="1295" t="s">
        <v>15</v>
      </c>
      <c r="B25" s="335">
        <v>4</v>
      </c>
    </row>
    <row r="26" spans="1:6">
      <c r="A26" s="1295" t="s">
        <v>16</v>
      </c>
      <c r="B26" s="335">
        <v>58</v>
      </c>
    </row>
    <row r="27" spans="1:6">
      <c r="A27" s="1295" t="s">
        <v>17</v>
      </c>
      <c r="B27" s="335">
        <v>0</v>
      </c>
    </row>
    <row r="28" spans="1:6" s="341" customFormat="1">
      <c r="A28" s="1296" t="s">
        <v>18</v>
      </c>
      <c r="B28" s="1296">
        <v>23454</v>
      </c>
    </row>
    <row r="29" spans="1:6">
      <c r="A29" s="1296" t="s">
        <v>909</v>
      </c>
      <c r="B29" s="1296">
        <v>30</v>
      </c>
      <c r="C29" s="341"/>
      <c r="D29" s="341"/>
      <c r="E29" s="341"/>
      <c r="F29" s="341"/>
    </row>
    <row r="30" spans="1:6">
      <c r="A30" s="1291" t="s">
        <v>910</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120</v>
      </c>
      <c r="D39" s="335">
        <v>2108269.4364670198</v>
      </c>
      <c r="E39" s="335">
        <v>756</v>
      </c>
      <c r="F39" s="335">
        <v>3840716.1688887202</v>
      </c>
    </row>
    <row r="40" spans="1:6">
      <c r="A40" s="1295" t="s">
        <v>30</v>
      </c>
      <c r="B40" s="1295" t="s">
        <v>29</v>
      </c>
      <c r="C40" s="335">
        <v>0</v>
      </c>
      <c r="D40" s="335">
        <v>0</v>
      </c>
      <c r="E40" s="335">
        <v>0</v>
      </c>
      <c r="F40" s="335">
        <v>0</v>
      </c>
    </row>
    <row r="41" spans="1:6">
      <c r="A41" s="1295" t="s">
        <v>32</v>
      </c>
      <c r="B41" s="1295" t="s">
        <v>33</v>
      </c>
      <c r="C41" s="335">
        <v>0</v>
      </c>
      <c r="D41" s="335">
        <v>0</v>
      </c>
      <c r="E41" s="335">
        <v>0</v>
      </c>
      <c r="F41" s="335">
        <v>0</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0</v>
      </c>
      <c r="D48" s="335">
        <v>0</v>
      </c>
      <c r="E48" s="335">
        <v>13</v>
      </c>
      <c r="F48" s="335">
        <v>118058.18802185199</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29</v>
      </c>
      <c r="F51" s="335">
        <v>436544.42862694297</v>
      </c>
    </row>
    <row r="52" spans="1:6">
      <c r="A52" s="1295" t="s">
        <v>42</v>
      </c>
      <c r="B52" s="1295" t="s">
        <v>29</v>
      </c>
      <c r="C52" s="335">
        <v>0</v>
      </c>
      <c r="D52" s="335">
        <v>0</v>
      </c>
      <c r="E52" s="335">
        <v>6</v>
      </c>
      <c r="F52" s="335">
        <v>59711.6537494761</v>
      </c>
    </row>
    <row r="53" spans="1:6">
      <c r="A53" s="1295" t="s">
        <v>44</v>
      </c>
      <c r="B53" s="1295" t="s">
        <v>45</v>
      </c>
      <c r="C53" s="335">
        <v>5</v>
      </c>
      <c r="D53" s="335">
        <v>113225.05201259701</v>
      </c>
      <c r="E53" s="335">
        <v>19</v>
      </c>
      <c r="F53" s="335">
        <v>104693.834063245</v>
      </c>
    </row>
    <row r="54" spans="1:6">
      <c r="A54" s="1295" t="s">
        <v>46</v>
      </c>
      <c r="B54" s="1295" t="s">
        <v>47</v>
      </c>
      <c r="C54" s="335">
        <v>0</v>
      </c>
      <c r="D54" s="335">
        <v>0</v>
      </c>
      <c r="E54" s="335">
        <v>1</v>
      </c>
      <c r="F54" s="335">
        <v>171658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3</v>
      </c>
      <c r="F57" s="335">
        <v>16098.376080728</v>
      </c>
    </row>
    <row r="58" spans="1:6">
      <c r="A58" s="1295" t="s">
        <v>49</v>
      </c>
      <c r="B58" s="1295" t="s">
        <v>51</v>
      </c>
      <c r="C58" s="335">
        <v>0</v>
      </c>
      <c r="D58" s="335">
        <v>0</v>
      </c>
      <c r="E58" s="335">
        <v>3</v>
      </c>
      <c r="F58" s="335">
        <v>276</v>
      </c>
    </row>
    <row r="59" spans="1:6">
      <c r="A59" s="1295" t="s">
        <v>49</v>
      </c>
      <c r="B59" s="1295" t="s">
        <v>52</v>
      </c>
      <c r="C59" s="335">
        <v>0</v>
      </c>
      <c r="D59" s="335">
        <v>0</v>
      </c>
      <c r="E59" s="335">
        <v>0</v>
      </c>
      <c r="F59" s="335">
        <v>0</v>
      </c>
    </row>
    <row r="60" spans="1:6">
      <c r="A60" s="1295" t="s">
        <v>49</v>
      </c>
      <c r="B60" s="1295" t="s">
        <v>53</v>
      </c>
      <c r="C60" s="335">
        <v>3</v>
      </c>
      <c r="D60" s="335">
        <v>109384.581374792</v>
      </c>
      <c r="E60" s="335">
        <v>4</v>
      </c>
      <c r="F60" s="335">
        <v>87844.7991792377</v>
      </c>
    </row>
    <row r="61" spans="1:6">
      <c r="A61" s="1295" t="s">
        <v>49</v>
      </c>
      <c r="B61" s="1295" t="s">
        <v>54</v>
      </c>
      <c r="C61" s="335">
        <v>5</v>
      </c>
      <c r="D61" s="335">
        <v>257618.17292360999</v>
      </c>
      <c r="E61" s="335">
        <v>22</v>
      </c>
      <c r="F61" s="335">
        <v>239381.287693013</v>
      </c>
    </row>
    <row r="62" spans="1:6">
      <c r="A62" s="1295" t="s">
        <v>49</v>
      </c>
      <c r="B62" s="1295" t="s">
        <v>55</v>
      </c>
      <c r="C62" s="335">
        <v>0</v>
      </c>
      <c r="D62" s="335">
        <v>0</v>
      </c>
      <c r="E62" s="335">
        <v>0</v>
      </c>
      <c r="F62" s="335">
        <v>0</v>
      </c>
    </row>
    <row r="63" spans="1:6">
      <c r="A63" s="1295" t="s">
        <v>49</v>
      </c>
      <c r="B63" s="1295" t="s">
        <v>29</v>
      </c>
      <c r="C63" s="335">
        <v>12</v>
      </c>
      <c r="D63" s="335">
        <v>414179.80327576603</v>
      </c>
      <c r="E63" s="335">
        <v>45</v>
      </c>
      <c r="F63" s="335">
        <v>615654.70004455897</v>
      </c>
    </row>
    <row r="64" spans="1:6">
      <c r="A64" s="1295" t="s">
        <v>56</v>
      </c>
      <c r="B64" s="1295" t="s">
        <v>57</v>
      </c>
      <c r="C64" s="335">
        <v>0</v>
      </c>
      <c r="D64" s="335">
        <v>0</v>
      </c>
      <c r="E64" s="335">
        <v>0</v>
      </c>
      <c r="F64" s="335">
        <v>0</v>
      </c>
    </row>
    <row r="65" spans="1:6">
      <c r="A65" s="1295" t="s">
        <v>56</v>
      </c>
      <c r="B65" s="1295" t="s">
        <v>29</v>
      </c>
      <c r="C65" s="335">
        <v>0</v>
      </c>
      <c r="D65" s="335">
        <v>0</v>
      </c>
      <c r="E65" s="335">
        <v>2</v>
      </c>
      <c r="F65" s="335">
        <v>15520.682774516799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5939462</v>
      </c>
      <c r="E73" s="335">
        <v>6680004.063740937</v>
      </c>
    </row>
    <row r="74" spans="1:6">
      <c r="A74" s="1295" t="s">
        <v>64</v>
      </c>
      <c r="B74" s="1295" t="s">
        <v>727</v>
      </c>
      <c r="C74" s="1295" t="s">
        <v>728</v>
      </c>
      <c r="D74" s="335">
        <v>199485.66827138164</v>
      </c>
      <c r="E74" s="335">
        <v>218864.48434292321</v>
      </c>
    </row>
    <row r="75" spans="1:6">
      <c r="A75" s="1295" t="s">
        <v>65</v>
      </c>
      <c r="B75" s="1295" t="s">
        <v>725</v>
      </c>
      <c r="C75" s="1295" t="s">
        <v>729</v>
      </c>
      <c r="D75" s="335">
        <v>3541624</v>
      </c>
      <c r="E75" s="335">
        <v>3983215.8554610447</v>
      </c>
    </row>
    <row r="76" spans="1:6">
      <c r="A76" s="1295" t="s">
        <v>65</v>
      </c>
      <c r="B76" s="1295" t="s">
        <v>727</v>
      </c>
      <c r="C76" s="1295" t="s">
        <v>730</v>
      </c>
      <c r="D76" s="335">
        <v>8466.6682713816372</v>
      </c>
      <c r="E76" s="335">
        <v>10986.099928143452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36762.663457236726</v>
      </c>
      <c r="C83" s="335">
        <v>36440.647618983217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351.26490000000001</v>
      </c>
    </row>
    <row r="92" spans="1:6">
      <c r="A92" s="1291" t="s">
        <v>69</v>
      </c>
      <c r="B92" s="338">
        <v>53.39105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v>
      </c>
    </row>
    <row r="98" spans="1:6">
      <c r="A98" s="1295" t="s">
        <v>72</v>
      </c>
      <c r="B98" s="335">
        <v>0</v>
      </c>
    </row>
    <row r="99" spans="1:6">
      <c r="A99" s="1295" t="s">
        <v>73</v>
      </c>
      <c r="B99" s="335">
        <v>86</v>
      </c>
    </row>
    <row r="100" spans="1:6">
      <c r="A100" s="1295" t="s">
        <v>74</v>
      </c>
      <c r="B100" s="335">
        <v>49</v>
      </c>
    </row>
    <row r="101" spans="1:6">
      <c r="A101" s="1295" t="s">
        <v>75</v>
      </c>
      <c r="B101" s="335">
        <v>41</v>
      </c>
    </row>
    <row r="102" spans="1:6">
      <c r="A102" s="1295" t="s">
        <v>76</v>
      </c>
      <c r="B102" s="335">
        <v>11</v>
      </c>
    </row>
    <row r="103" spans="1:6">
      <c r="A103" s="1295" t="s">
        <v>77</v>
      </c>
      <c r="B103" s="335">
        <v>38</v>
      </c>
    </row>
    <row r="104" spans="1:6">
      <c r="A104" s="1295" t="s">
        <v>78</v>
      </c>
      <c r="B104" s="335">
        <v>523</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v>
      </c>
    </row>
    <row r="130" spans="1:6">
      <c r="A130" s="1295" t="s">
        <v>295</v>
      </c>
      <c r="B130" s="335">
        <v>0</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6042.4200410556778</v>
      </c>
      <c r="C3" s="43" t="s">
        <v>170</v>
      </c>
      <c r="D3" s="43"/>
      <c r="E3" s="156"/>
      <c r="F3" s="43"/>
      <c r="G3" s="43"/>
      <c r="H3" s="43"/>
      <c r="I3" s="43"/>
      <c r="J3" s="43"/>
      <c r="K3" s="96"/>
    </row>
    <row r="4" spans="1:11">
      <c r="A4" s="366" t="s">
        <v>171</v>
      </c>
      <c r="B4" s="49">
        <f>IF(ISERROR('SEAP template'!B78+'SEAP template'!C78),0,'SEAP template'!B78+'SEAP template'!C78)</f>
        <v>404.65595000000002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0.20619980995323592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171.65799999999999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171.65799999999999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0.20619980995323592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35.395846976952569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3840.7161688887204</v>
      </c>
      <c r="C5" s="17">
        <f>IF(ISERROR('Eigen informatie GS &amp; warmtenet'!B57),0,'Eigen informatie GS &amp; warmtenet'!B57)</f>
        <v>0</v>
      </c>
      <c r="D5" s="30">
        <f>(SUM(HH_hh_gas_kWh,HH_rest_gas_kWh)/1000)*0.902</f>
        <v>1901.6590316932518</v>
      </c>
      <c r="E5" s="17">
        <f>B46*B57</f>
        <v>2952.7972587126301</v>
      </c>
      <c r="F5" s="17">
        <f>B51*B62</f>
        <v>10562.329488721991</v>
      </c>
      <c r="G5" s="18"/>
      <c r="H5" s="17"/>
      <c r="I5" s="17"/>
      <c r="J5" s="17">
        <f>B50*B61+C50*C61</f>
        <v>1069.9648606383669</v>
      </c>
      <c r="K5" s="17"/>
      <c r="L5" s="17"/>
      <c r="M5" s="17"/>
      <c r="N5" s="17">
        <f>B48*B59+C48*C59</f>
        <v>5277.4735032905164</v>
      </c>
      <c r="O5" s="17">
        <f>B69*B70*B71</f>
        <v>29.703333333333333</v>
      </c>
      <c r="P5" s="17">
        <f>B77*B78*B79/1000-B77*B78*B79/1000/B80</f>
        <v>57.2</v>
      </c>
    </row>
    <row r="6" spans="1:16">
      <c r="A6" s="16" t="s">
        <v>634</v>
      </c>
      <c r="B6" s="783">
        <f>kWh_PV_kleiner_dan_10kW</f>
        <v>351.26490000000001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4191.9810688887201</v>
      </c>
      <c r="C8" s="21">
        <f>C5</f>
        <v>0</v>
      </c>
      <c r="D8" s="21">
        <f>D5</f>
        <v>1901.6590316932518</v>
      </c>
      <c r="E8" s="21">
        <f>E5</f>
        <v>2952.7972587126301</v>
      </c>
      <c r="F8" s="21">
        <f>F5</f>
        <v>10562.329488721991</v>
      </c>
      <c r="G8" s="21"/>
      <c r="H8" s="21"/>
      <c r="I8" s="21"/>
      <c r="J8" s="21">
        <f>J5</f>
        <v>1069.9648606383669</v>
      </c>
      <c r="K8" s="21"/>
      <c r="L8" s="21">
        <f>L5</f>
        <v>0</v>
      </c>
      <c r="M8" s="21">
        <f>M5</f>
        <v>0</v>
      </c>
      <c r="N8" s="21">
        <f>N5</f>
        <v>5277.4735032905164</v>
      </c>
      <c r="O8" s="21">
        <f>O5</f>
        <v>29.703333333333333</v>
      </c>
      <c r="P8" s="21">
        <f>P5</f>
        <v>57.2</v>
      </c>
    </row>
    <row r="9" spans="1:16">
      <c r="B9" s="19"/>
      <c r="C9" s="19"/>
      <c r="D9" s="261"/>
      <c r="E9" s="19"/>
      <c r="F9" s="19"/>
      <c r="G9" s="19"/>
      <c r="H9" s="19"/>
      <c r="I9" s="19"/>
      <c r="J9" s="19"/>
      <c r="K9" s="19"/>
      <c r="L9" s="19"/>
      <c r="M9" s="19"/>
      <c r="N9" s="19"/>
      <c r="O9" s="19"/>
      <c r="P9" s="19"/>
    </row>
    <row r="10" spans="1:16">
      <c r="A10" s="24" t="s">
        <v>214</v>
      </c>
      <c r="B10" s="25">
        <f ca="1">'EF ele_warmte'!B12</f>
        <v>0.20619980995323592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864.38569973241681</v>
      </c>
      <c r="C12" s="23">
        <f ca="1">C10*C8</f>
        <v>0</v>
      </c>
      <c r="D12" s="23">
        <f>D8*D10</f>
        <v>384.13512440203687</v>
      </c>
      <c r="E12" s="23">
        <f>E10*E8</f>
        <v>670.284977727767</v>
      </c>
      <c r="F12" s="23">
        <f>F10*F8</f>
        <v>2820.1419734887718</v>
      </c>
      <c r="G12" s="23"/>
      <c r="H12" s="23"/>
      <c r="I12" s="23"/>
      <c r="J12" s="23">
        <f>J10*J8</f>
        <v>378.76756066598188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v>
      </c>
      <c r="C18" s="168" t="s">
        <v>111</v>
      </c>
      <c r="D18" s="230"/>
      <c r="E18" s="15"/>
    </row>
    <row r="19" spans="1:7">
      <c r="A19" s="173" t="s">
        <v>72</v>
      </c>
      <c r="B19" s="37">
        <f>aantalw2001_ander</f>
        <v>0</v>
      </c>
      <c r="C19" s="168" t="s">
        <v>111</v>
      </c>
      <c r="D19" s="231"/>
      <c r="E19" s="15"/>
    </row>
    <row r="20" spans="1:7">
      <c r="A20" s="173" t="s">
        <v>73</v>
      </c>
      <c r="B20" s="37">
        <f>aantalw2001_propaan</f>
        <v>86</v>
      </c>
      <c r="C20" s="169">
        <f>IF(ISERROR(B20/SUM($B$20,$B$21,$B$22)*100),0,B20/SUM($B$20,$B$21,$B$22)*100)</f>
        <v>48.863636363636367</v>
      </c>
      <c r="D20" s="231"/>
      <c r="E20" s="15"/>
    </row>
    <row r="21" spans="1:7">
      <c r="A21" s="173" t="s">
        <v>74</v>
      </c>
      <c r="B21" s="37">
        <f>aantalw2001_elektriciteit</f>
        <v>49</v>
      </c>
      <c r="C21" s="169">
        <f>IF(ISERROR(B21/SUM($B$20,$B$21,$B$22)*100),0,B21/SUM($B$20,$B$21,$B$22)*100)</f>
        <v>27.84090909090909</v>
      </c>
      <c r="D21" s="231"/>
      <c r="E21" s="15"/>
    </row>
    <row r="22" spans="1:7">
      <c r="A22" s="173" t="s">
        <v>75</v>
      </c>
      <c r="B22" s="37">
        <f>aantalw2001_hout</f>
        <v>41</v>
      </c>
      <c r="C22" s="169">
        <f>IF(ISERROR(B22/SUM($B$20,$B$21,$B$22)*100),0,B22/SUM($B$20,$B$21,$B$22)*100)</f>
        <v>23.295454545454543</v>
      </c>
      <c r="D22" s="231"/>
      <c r="E22" s="15"/>
    </row>
    <row r="23" spans="1:7">
      <c r="A23" s="173" t="s">
        <v>76</v>
      </c>
      <c r="B23" s="37">
        <f>aantalw2001_niet_gespec</f>
        <v>11</v>
      </c>
      <c r="C23" s="168" t="s">
        <v>111</v>
      </c>
      <c r="D23" s="230"/>
      <c r="E23" s="15"/>
    </row>
    <row r="24" spans="1:7">
      <c r="A24" s="173" t="s">
        <v>77</v>
      </c>
      <c r="B24" s="37">
        <f>aantalw2001_steenkool</f>
        <v>38</v>
      </c>
      <c r="C24" s="168" t="s">
        <v>111</v>
      </c>
      <c r="D24" s="231"/>
      <c r="E24" s="15"/>
    </row>
    <row r="25" spans="1:7">
      <c r="A25" s="173" t="s">
        <v>78</v>
      </c>
      <c r="B25" s="37">
        <f>aantalw2001_stookolie</f>
        <v>523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857</v>
      </c>
      <c r="C28" s="36"/>
      <c r="D28" s="230"/>
    </row>
    <row r="29" spans="1:7" s="15" customFormat="1">
      <c r="A29" s="232" t="s">
        <v>746</v>
      </c>
      <c r="B29" s="37">
        <f>SUM(HH_hh_gas_aantal,HH_rest_gas_aantal)</f>
        <v>120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v>
      </c>
      <c r="C32" s="169">
        <f>IF(ISERROR(B32/SUM($B$32,$B$34,$B$35,$B$36,$B$38,$B$39)*100),0,B32/SUM($B$32,$B$34,$B$35,$B$36,$B$38,$B$39)*100)</f>
        <v>14.051522248243559</v>
      </c>
      <c r="D32" s="235"/>
      <c r="G32" s="15"/>
    </row>
    <row r="33" spans="1:7">
      <c r="A33" s="173" t="s">
        <v>72</v>
      </c>
      <c r="B33" s="34" t="s">
        <v>111</v>
      </c>
      <c r="C33" s="169"/>
      <c r="D33" s="235"/>
      <c r="G33" s="15"/>
    </row>
    <row r="34" spans="1:7">
      <c r="A34" s="173" t="s">
        <v>73</v>
      </c>
      <c r="B34" s="33">
        <f>IF((($B$28-$B$32-$B$39-$B$77-$B$38)*C20/100)&lt;0,0,($B$28-$B$32-$B$39-$B$77-$B$38)*C20/100)</f>
        <v>141.70454545454547</v>
      </c>
      <c r="C34" s="169">
        <f>IF(ISERROR(B34/SUM($B$32,$B$34,$B$35,$B$36,$B$38,$B$39)*100),0,B34/SUM($B$32,$B$34,$B$35,$B$36,$B$38,$B$39)*100)</f>
        <v>16.593038109431554</v>
      </c>
      <c r="D34" s="235"/>
      <c r="G34" s="15"/>
    </row>
    <row r="35" spans="1:7">
      <c r="A35" s="173" t="s">
        <v>74</v>
      </c>
      <c r="B35" s="33">
        <f>IF((($B$28-$B$32-$B$39-$B$77-$B$38)*C21/100)&lt;0,0,($B$28-$B$32-$B$39-$B$77-$B$38)*C21/100)</f>
        <v>80.73863636363636</v>
      </c>
      <c r="C35" s="169">
        <f>IF(ISERROR(B35/SUM($B$32,$B$34,$B$35,$B$36,$B$38,$B$39)*100),0,B35/SUM($B$32,$B$34,$B$35,$B$36,$B$38,$B$39)*100)</f>
        <v>9.4541728763040229</v>
      </c>
      <c r="D35" s="235"/>
      <c r="G35" s="15"/>
    </row>
    <row r="36" spans="1:7">
      <c r="A36" s="173" t="s">
        <v>75</v>
      </c>
      <c r="B36" s="33">
        <f>IF((($B$28-$B$32-$B$39-$B$77-$B$38)*C22/100)&lt;0,0,($B$28-$B$32-$B$39-$B$77-$B$38)*C22/100)</f>
        <v>67.556818181818173</v>
      </c>
      <c r="C36" s="169">
        <f>IF(ISERROR(B36/SUM($B$32,$B$34,$B$35,$B$36,$B$38,$B$39)*100),0,B36/SUM($B$32,$B$34,$B$35,$B$36,$B$38,$B$39)*100)</f>
        <v>7.9106344475196915</v>
      </c>
      <c r="D36" s="235"/>
      <c r="G36" s="15"/>
    </row>
    <row r="37" spans="1:7">
      <c r="A37" s="173" t="s">
        <v>76</v>
      </c>
      <c r="B37" s="34" t="s">
        <v>111</v>
      </c>
      <c r="C37" s="169"/>
      <c r="D37" s="175"/>
      <c r="G37" s="15"/>
    </row>
    <row r="38" spans="1:7">
      <c r="A38" s="173" t="s">
        <v>77</v>
      </c>
      <c r="B38" s="33">
        <f>IF((B24-(B29-B18)*0.1)&lt;0,0,B24-(B29-B18)*0.1)</f>
        <v>26.299999999999997</v>
      </c>
      <c r="C38" s="169">
        <f>IF(ISERROR(B38/SUM($B$32,$B$34,$B$35,$B$36,$B$38,$B$39)*100),0,B38/SUM($B$32,$B$34,$B$35,$B$36,$B$38,$B$39)*100)</f>
        <v>3.0796252927400465</v>
      </c>
      <c r="D38" s="236"/>
      <c r="G38" s="15"/>
    </row>
    <row r="39" spans="1:7">
      <c r="A39" s="173" t="s">
        <v>78</v>
      </c>
      <c r="B39" s="33">
        <f>IF((B25-(B29-B18))&lt;0,0,B25-(B29-B18)*0.9)</f>
        <v>417.7</v>
      </c>
      <c r="C39" s="169">
        <f>IF(ISERROR(B39/SUM($B$32,$B$34,$B$35,$B$36,$B$38,$B$39)*100),0,B39/SUM($B$32,$B$34,$B$35,$B$36,$B$38,$B$39)*100)</f>
        <v>48.911007025761123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v>
      </c>
      <c r="C44" s="34" t="s">
        <v>111</v>
      </c>
      <c r="D44" s="176"/>
    </row>
    <row r="45" spans="1:7">
      <c r="A45" s="173" t="s">
        <v>72</v>
      </c>
      <c r="B45" s="33" t="str">
        <f t="shared" si="0"/>
        <v>-</v>
      </c>
      <c r="C45" s="34" t="s">
        <v>111</v>
      </c>
      <c r="D45" s="176"/>
    </row>
    <row r="46" spans="1:7">
      <c r="A46" s="173" t="s">
        <v>73</v>
      </c>
      <c r="B46" s="33">
        <f t="shared" si="0"/>
        <v>141.70454545454547</v>
      </c>
      <c r="C46" s="34" t="s">
        <v>111</v>
      </c>
      <c r="D46" s="176"/>
    </row>
    <row r="47" spans="1:7">
      <c r="A47" s="173" t="s">
        <v>74</v>
      </c>
      <c r="B47" s="33">
        <f t="shared" si="0"/>
        <v>80.73863636363636</v>
      </c>
      <c r="C47" s="34" t="s">
        <v>111</v>
      </c>
      <c r="D47" s="176"/>
    </row>
    <row r="48" spans="1:7">
      <c r="A48" s="173" t="s">
        <v>75</v>
      </c>
      <c r="B48" s="33">
        <f t="shared" si="0"/>
        <v>67.556818181818173</v>
      </c>
      <c r="C48" s="33">
        <f>B48*10</f>
        <v>675.56818181818176</v>
      </c>
      <c r="D48" s="236"/>
    </row>
    <row r="49" spans="1:6">
      <c r="A49" s="173" t="s">
        <v>76</v>
      </c>
      <c r="B49" s="33" t="str">
        <f t="shared" si="0"/>
        <v>-</v>
      </c>
      <c r="C49" s="34" t="s">
        <v>111</v>
      </c>
      <c r="D49" s="236"/>
    </row>
    <row r="50" spans="1:6">
      <c r="A50" s="173" t="s">
        <v>77</v>
      </c>
      <c r="B50" s="33">
        <f t="shared" si="0"/>
        <v>26.299999999999997</v>
      </c>
      <c r="C50" s="33">
        <f>B50*2</f>
        <v>52.599999999999994</v>
      </c>
      <c r="D50" s="236"/>
    </row>
    <row r="51" spans="1:6">
      <c r="A51" s="173" t="s">
        <v>78</v>
      </c>
      <c r="B51" s="33">
        <f t="shared" si="0"/>
        <v>417.7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959.25516299753758</v>
      </c>
      <c r="C5" s="17">
        <f>IF(ISERROR('Eigen informatie GS &amp; warmtenet'!B58),0,'Eigen informatie GS &amp; warmtenet'!B58)</f>
        <v>0</v>
      </c>
      <c r="D5" s="30">
        <f>SUM(D6:D12)</f>
        <v>704.62666693189954</v>
      </c>
      <c r="E5" s="17">
        <f>SUM(E6:E12)</f>
        <v>13.420282270388189</v>
      </c>
      <c r="F5" s="17">
        <f>SUM(F6:F12)</f>
        <v>188.43369689505244</v>
      </c>
      <c r="G5" s="18"/>
      <c r="H5" s="17"/>
      <c r="I5" s="17"/>
      <c r="J5" s="17">
        <f>SUM(J6:J12)</f>
        <v>0</v>
      </c>
      <c r="K5" s="17"/>
      <c r="L5" s="17"/>
      <c r="M5" s="17"/>
      <c r="N5" s="17">
        <f>SUM(N6:N12)</f>
        <v>60.235372543602494</v>
      </c>
      <c r="O5" s="17">
        <f>B38*B39*B40</f>
        <v>0</v>
      </c>
      <c r="P5" s="17">
        <f>B46*B47*B48/1000-B46*B47*B48/1000/B49</f>
        <v>0</v>
      </c>
      <c r="R5" s="32"/>
    </row>
    <row r="6" spans="1:18">
      <c r="A6" s="32" t="s">
        <v>54</v>
      </c>
      <c r="B6" s="37">
        <f>B26</f>
        <v>239.38128769301301</v>
      </c>
      <c r="C6" s="33"/>
      <c r="D6" s="37">
        <f>IF(ISERROR(TER_kantoor_gas_kWh/1000),0,TER_kantoor_gas_kWh/1000)*0.902</f>
        <v>232.37159197709624</v>
      </c>
      <c r="E6" s="33">
        <f>$C$26*'E Balans VL '!I12/100/3.6*1000000</f>
        <v>0.93004698265882058</v>
      </c>
      <c r="F6" s="33">
        <f>$C$26*('E Balans VL '!L12+'E Balans VL '!N12)/100/3.6*1000000</f>
        <v>36.407715662050123</v>
      </c>
      <c r="G6" s="34"/>
      <c r="H6" s="33"/>
      <c r="I6" s="33"/>
      <c r="J6" s="33">
        <f>$C$26*('E Balans VL '!D12+'E Balans VL '!E12)/100/3.6*1000000</f>
        <v>0</v>
      </c>
      <c r="K6" s="33"/>
      <c r="L6" s="33"/>
      <c r="M6" s="33"/>
      <c r="N6" s="33">
        <f>$C$26*'E Balans VL '!Y12/100/3.6*1000000</f>
        <v>0.13192776669088471</v>
      </c>
      <c r="O6" s="33"/>
      <c r="P6" s="33"/>
      <c r="R6" s="32"/>
    </row>
    <row r="7" spans="1:18">
      <c r="A7" s="32" t="s">
        <v>53</v>
      </c>
      <c r="B7" s="37">
        <f t="shared" ref="B7:B12" si="0">B27</f>
        <v>87.844799179237697</v>
      </c>
      <c r="C7" s="33"/>
      <c r="D7" s="37">
        <f>IF(ISERROR(TER_horeca_gas_kWh/1000),0,TER_horeca_gas_kWh/1000)*0.902</f>
        <v>98.664892400062399</v>
      </c>
      <c r="E7" s="33">
        <f>$C$27*'E Balans VL '!I9/100/3.6*1000000</f>
        <v>4.9483210235745734</v>
      </c>
      <c r="F7" s="33">
        <f>$C$27*('E Balans VL '!L9+'E Balans VL '!N9)/100/3.6*1000000</f>
        <v>25.329180922525786</v>
      </c>
      <c r="G7" s="34"/>
      <c r="H7" s="33"/>
      <c r="I7" s="33"/>
      <c r="J7" s="33">
        <f>$C$27*('E Balans VL '!D9+'E Balans VL '!E9)/100/3.6*1000000</f>
        <v>0</v>
      </c>
      <c r="K7" s="33"/>
      <c r="L7" s="33"/>
      <c r="M7" s="33"/>
      <c r="N7" s="33">
        <f>$C$27*'E Balans VL '!Y9/100/3.6*1000000</f>
        <v>2.4253492568861765E-2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0.27600000000000002</v>
      </c>
      <c r="C9" s="33"/>
      <c r="D9" s="37">
        <f>IF(ISERROR(TER_gezond_gas_kWh/1000),0,TER_gezond_gas_kWh/1000)*0.902</f>
        <v>0</v>
      </c>
      <c r="E9" s="33">
        <f>$C$29*'E Balans VL '!I10/100/3.6*1000000</f>
        <v>2.9483953657290262E-4</v>
      </c>
      <c r="F9" s="33">
        <f>$C$29*('E Balans VL '!L10+'E Balans VL '!N10)/100/3.6*1000000</f>
        <v>4.5023987954760022E-2</v>
      </c>
      <c r="G9" s="34"/>
      <c r="H9" s="33"/>
      <c r="I9" s="33"/>
      <c r="J9" s="33">
        <f>$C$29*('E Balans VL '!D10+'E Balans VL '!E10)/100/3.6*1000000</f>
        <v>0</v>
      </c>
      <c r="K9" s="33"/>
      <c r="L9" s="33"/>
      <c r="M9" s="33"/>
      <c r="N9" s="33">
        <f>$C$29*'E Balans VL '!Y10/100/3.6*1000000</f>
        <v>2.8412625175418238E-3</v>
      </c>
      <c r="O9" s="33"/>
      <c r="P9" s="33"/>
      <c r="R9" s="32"/>
    </row>
    <row r="10" spans="1:18">
      <c r="A10" s="32" t="s">
        <v>50</v>
      </c>
      <c r="B10" s="37">
        <f t="shared" si="0"/>
        <v>16.098376080727999</v>
      </c>
      <c r="C10" s="33"/>
      <c r="D10" s="37">
        <f>IF(ISERROR(TER_ander_gas_kWh/1000),0,TER_ander_gas_kWh/1000)*0.902</f>
        <v>0</v>
      </c>
      <c r="E10" s="33">
        <f>$C$30*'E Balans VL '!I14/100/3.6*1000000</f>
        <v>7.4033982850486957E-2</v>
      </c>
      <c r="F10" s="33">
        <f>$C$30*('E Balans VL '!L14+'E Balans VL '!N14)/100/3.6*1000000</f>
        <v>4.8251910998149254</v>
      </c>
      <c r="G10" s="34"/>
      <c r="H10" s="33"/>
      <c r="I10" s="33"/>
      <c r="J10" s="33">
        <f>$C$30*('E Balans VL '!D14+'E Balans VL '!E14)/100/3.6*1000000</f>
        <v>0</v>
      </c>
      <c r="K10" s="33"/>
      <c r="L10" s="33"/>
      <c r="M10" s="33"/>
      <c r="N10" s="33">
        <f>$C$30*'E Balans VL '!Y14/100/3.6*1000000</f>
        <v>11.205532418366365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615.65470004455892</v>
      </c>
      <c r="C12" s="33"/>
      <c r="D12" s="37">
        <f>IF(ISERROR(TER_rest_gas_kWh/1000),0,TER_rest_gas_kWh/1000)*0.902</f>
        <v>373.59018255474092</v>
      </c>
      <c r="E12" s="33">
        <f>$C$32*'E Balans VL '!I8/100/3.6*1000000</f>
        <v>7.4675854417677332</v>
      </c>
      <c r="F12" s="33">
        <f>$C$32*('E Balans VL '!L8+'E Balans VL '!N8)/100/3.6*1000000</f>
        <v>121.82658522270684</v>
      </c>
      <c r="G12" s="34"/>
      <c r="H12" s="33"/>
      <c r="I12" s="33"/>
      <c r="J12" s="33">
        <f>$C$32*('E Balans VL '!D8+'E Balans VL '!E8)/100/3.6*1000000</f>
        <v>0</v>
      </c>
      <c r="K12" s="33"/>
      <c r="L12" s="33"/>
      <c r="M12" s="33"/>
      <c r="N12" s="33">
        <f>$C$32*'E Balans VL '!Y8/100/3.6*1000000</f>
        <v>48.870817603458839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959.25516299753758</v>
      </c>
      <c r="C16" s="21">
        <f t="shared" ca="1" si="1"/>
        <v>0</v>
      </c>
      <c r="D16" s="21">
        <f t="shared" ca="1" si="1"/>
        <v>704.62666693189954</v>
      </c>
      <c r="E16" s="21">
        <f t="shared" si="1"/>
        <v>13.420282270388189</v>
      </c>
      <c r="F16" s="21">
        <f t="shared" ca="1" si="1"/>
        <v>188.43369689505244</v>
      </c>
      <c r="G16" s="21">
        <f t="shared" si="1"/>
        <v>0</v>
      </c>
      <c r="H16" s="21">
        <f t="shared" si="1"/>
        <v>0</v>
      </c>
      <c r="I16" s="21">
        <f t="shared" si="1"/>
        <v>0</v>
      </c>
      <c r="J16" s="21">
        <f t="shared" si="1"/>
        <v>0</v>
      </c>
      <c r="K16" s="21">
        <f t="shared" si="1"/>
        <v>0</v>
      </c>
      <c r="L16" s="21">
        <f t="shared" ca="1" si="1"/>
        <v>0</v>
      </c>
      <c r="M16" s="21">
        <f t="shared" si="1"/>
        <v>0</v>
      </c>
      <c r="N16" s="21">
        <f t="shared" ca="1" si="1"/>
        <v>60.235372543602494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0.20619980995323592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197.7982323067526</v>
      </c>
      <c r="C20" s="23">
        <f t="shared" ref="C20:P20" ca="1" si="2">C16*C18</f>
        <v>0</v>
      </c>
      <c r="D20" s="23">
        <f t="shared" ca="1" si="2"/>
        <v>142.33458672024372</v>
      </c>
      <c r="E20" s="23">
        <f t="shared" si="2"/>
        <v>3.0464040753781187</v>
      </c>
      <c r="F20" s="23">
        <f t="shared" ca="1" si="2"/>
        <v>50.311797070979004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239.38128769301301</v>
      </c>
      <c r="C26" s="39">
        <f>IF(ISERROR(B26*3.6/1000000/'E Balans VL '!Z12*100),0,B26*3.6/1000000/'E Balans VL '!Z12*100)</f>
        <v>5.0845771246751E-3</v>
      </c>
      <c r="D26" s="239" t="s">
        <v>692</v>
      </c>
      <c r="F26" s="6"/>
    </row>
    <row r="27" spans="1:18">
      <c r="A27" s="233" t="s">
        <v>53</v>
      </c>
      <c r="B27" s="33">
        <f>IF(ISERROR(TER_horeca_ele_kWh/1000),0,TER_horeca_ele_kWh/1000)</f>
        <v>87.844799179237697</v>
      </c>
      <c r="C27" s="39">
        <f>IF(ISERROR(B27*3.6/1000000/'E Balans VL '!Z9*100),0,B27*3.6/1000000/'E Balans VL '!Z9*100)</f>
        <v>6.8304681178906106E-3</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0.27600000000000002</v>
      </c>
      <c r="C29" s="39">
        <f>IF(ISERROR(B29*3.6/1000000/'E Balans VL '!Z10*100),0,B29*3.6/1000000/'E Balans VL '!Z10*100)</f>
        <v>3.0090413470820738E-5</v>
      </c>
      <c r="D29" s="239" t="s">
        <v>692</v>
      </c>
      <c r="F29" s="6"/>
    </row>
    <row r="30" spans="1:18">
      <c r="A30" s="233" t="s">
        <v>50</v>
      </c>
      <c r="B30" s="33">
        <f>IF(ISERROR(TER_ander_ele_kWh/1000),0,TER_ander_ele_kWh/1000)</f>
        <v>16.098376080727999</v>
      </c>
      <c r="C30" s="39">
        <f>IF(ISERROR(B30*3.6/1000000/'E Balans VL '!Z14*100),0,B30*3.6/1000000/'E Balans VL '!Z14*100)</f>
        <v>1.1780426432872184E-3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615.65470004455892</v>
      </c>
      <c r="C32" s="39">
        <f>IF(ISERROR(B32*3.6/1000000/'E Balans VL '!Z8*100),0,B32*3.6/1000000/'E Balans VL '!Z8*100)</f>
        <v>5.0172121835091238E-3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118.05818802185199</v>
      </c>
      <c r="C5" s="17">
        <f>IF(ISERROR('Eigen informatie GS &amp; warmtenet'!B59),0,'Eigen informatie GS &amp; warmtenet'!B59)</f>
        <v>0</v>
      </c>
      <c r="D5" s="30">
        <f>SUM(D6:D15)</f>
        <v>0</v>
      </c>
      <c r="E5" s="17">
        <f>SUM(E6:E15)</f>
        <v>6.5862496840948861</v>
      </c>
      <c r="F5" s="17">
        <f>SUM(F6:F15)</f>
        <v>27.753074332397507</v>
      </c>
      <c r="G5" s="18"/>
      <c r="H5" s="17"/>
      <c r="I5" s="17"/>
      <c r="J5" s="17">
        <f>SUM(J6:J15)</f>
        <v>0.3025905601341875</v>
      </c>
      <c r="K5" s="17"/>
      <c r="L5" s="17"/>
      <c r="M5" s="17"/>
      <c r="N5" s="17">
        <f>SUM(N6:N15)</f>
        <v>23.169288585961983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118.05818802185199</v>
      </c>
      <c r="C15" s="33"/>
      <c r="D15" s="37">
        <f>IF( ISERROR(IND_rest_gas_kWh/1000),0,IND_rest_gas_kWh/1000)*0.902</f>
        <v>0</v>
      </c>
      <c r="E15" s="33">
        <f>C37*'E Balans VL '!I15/100/3.6*1000000</f>
        <v>6.5862496840948861</v>
      </c>
      <c r="F15" s="33">
        <f>C37*'E Balans VL '!L15/100/3.6*1000000+C37*'E Balans VL '!N15/100/3.6*1000000</f>
        <v>27.753074332397507</v>
      </c>
      <c r="G15" s="34"/>
      <c r="H15" s="33"/>
      <c r="I15" s="33"/>
      <c r="J15" s="40">
        <f>C37*'E Balans VL '!D15/100/3.6*1000000+C37*'E Balans VL '!E15/100/3.6*1000000</f>
        <v>0.3025905601341875</v>
      </c>
      <c r="K15" s="33"/>
      <c r="L15" s="33"/>
      <c r="M15" s="33"/>
      <c r="N15" s="33">
        <f>C37*'E Balans VL '!Y15/100/3.6*1000000</f>
        <v>23.169288585961983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118.05818802185199</v>
      </c>
      <c r="C18" s="21">
        <f>C5+C16</f>
        <v>0</v>
      </c>
      <c r="D18" s="21">
        <f>MAX((D5+D16),0)</f>
        <v>0</v>
      </c>
      <c r="E18" s="21">
        <f>MAX((E5+E16),0)</f>
        <v>6.5862496840948861</v>
      </c>
      <c r="F18" s="21">
        <f>MAX((F5+F16),0)</f>
        <v>27.753074332397507</v>
      </c>
      <c r="G18" s="21"/>
      <c r="H18" s="21"/>
      <c r="I18" s="21"/>
      <c r="J18" s="21">
        <f>MAX((J5+J16),0)</f>
        <v>0.3025905601341875</v>
      </c>
      <c r="K18" s="21"/>
      <c r="L18" s="21">
        <f>MAX((L5+L16),0)</f>
        <v>0</v>
      </c>
      <c r="M18" s="21"/>
      <c r="N18" s="21">
        <f>MAX((N5+N16),0)</f>
        <v>23.169288585961983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0.20619980995323592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24.343575933529273</v>
      </c>
      <c r="C22" s="23">
        <f ca="1">C18*C20</f>
        <v>0</v>
      </c>
      <c r="D22" s="23">
        <f>D18*D20</f>
        <v>0</v>
      </c>
      <c r="E22" s="23">
        <f>E18*E20</f>
        <v>1.4950786782895391</v>
      </c>
      <c r="F22" s="23">
        <f>F18*F20</f>
        <v>7.4100708467501351</v>
      </c>
      <c r="G22" s="23"/>
      <c r="H22" s="23"/>
      <c r="I22" s="23"/>
      <c r="J22" s="23">
        <f>J18*J20</f>
        <v>0.10711705828750237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118.05818802185199</v>
      </c>
      <c r="C37" s="39">
        <f>IF(ISERROR(B37*3.6/1000000/'E Balans VL '!Z15*100),0,B37*3.6/1000000/'E Balans VL '!Z15*100)</f>
        <v>9.0978334405300131E-4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496.2560823764191</v>
      </c>
      <c r="C5" s="17">
        <f>'Eigen informatie GS &amp; warmtenet'!B60</f>
        <v>0</v>
      </c>
      <c r="D5" s="30">
        <f>IF(ISERROR(SUM(LB_lb_gas_kWh,LB_rest_gas_kWh)/1000),0,SUM(LB_lb_gas_kWh,LB_rest_gas_kWh)/1000)*0.902</f>
        <v>0</v>
      </c>
      <c r="E5" s="17">
        <f>B17*'E Balans VL '!I25/3.6*1000000/100</f>
        <v>6.2534659457614143</v>
      </c>
      <c r="F5" s="17">
        <f>B17*('E Balans VL '!L25/3.6*1000000+'E Balans VL '!N25/3.6*1000000)/100</f>
        <v>1712.2078037756808</v>
      </c>
      <c r="G5" s="18"/>
      <c r="H5" s="17"/>
      <c r="I5" s="17"/>
      <c r="J5" s="17">
        <f>('E Balans VL '!D25+'E Balans VL '!E25)/3.6*1000000*landbouw!B17/100</f>
        <v>74.631273549366867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496.2560823764191</v>
      </c>
      <c r="C8" s="21">
        <f>C5+C6</f>
        <v>0</v>
      </c>
      <c r="D8" s="21">
        <f>MAX((D5+D6),0)</f>
        <v>0</v>
      </c>
      <c r="E8" s="21">
        <f>MAX((E5+E6),0)</f>
        <v>6.2534659457614143</v>
      </c>
      <c r="F8" s="21">
        <f>MAX((F5+F6),0)</f>
        <v>1712.2078037756808</v>
      </c>
      <c r="G8" s="21"/>
      <c r="H8" s="21"/>
      <c r="I8" s="21"/>
      <c r="J8" s="21">
        <f>MAX((J5+J6),0)</f>
        <v>74.631273549366867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0.20619980995323592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102.32790987415501</v>
      </c>
      <c r="C12" s="23">
        <f ca="1">C8*C10</f>
        <v>0</v>
      </c>
      <c r="D12" s="23">
        <f>D8*D10</f>
        <v>0</v>
      </c>
      <c r="E12" s="23">
        <f>E8*E10</f>
        <v>1.4195367696878411</v>
      </c>
      <c r="F12" s="23">
        <f>F8*F10</f>
        <v>457.15948360810677</v>
      </c>
      <c r="G12" s="23"/>
      <c r="H12" s="23"/>
      <c r="I12" s="23"/>
      <c r="J12" s="23">
        <f>J8*J10</f>
        <v>26.41947083647587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6.9212082407701006E-2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199.06348035525485</v>
      </c>
      <c r="C26" s="249">
        <f>B26*'GWP N2O_CH4'!B5</f>
        <v>4180.3330874603516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23.919526641145325</v>
      </c>
      <c r="C27" s="249">
        <f>B27*'GWP N2O_CH4'!B5</f>
        <v>502.31005946405185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2.8584363443088487</v>
      </c>
      <c r="C28" s="249">
        <f>B28*'GWP N2O_CH4'!B4</f>
        <v>886.11526673574315</v>
      </c>
      <c r="D28" s="50"/>
    </row>
    <row r="29" spans="1:4">
      <c r="A29" s="41" t="s">
        <v>277</v>
      </c>
      <c r="B29" s="249">
        <f>B34*'ha_N2O bodem landbouw'!B4</f>
        <v>8.7264543880689853</v>
      </c>
      <c r="C29" s="249">
        <f>B29*'GWP N2O_CH4'!B4</f>
        <v>2705.2008603013855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2.1789084635348887E-3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1.863736948455799E-6</v>
      </c>
      <c r="C5" s="448" t="s">
        <v>211</v>
      </c>
      <c r="D5" s="433">
        <f>SUM(D6:D11)</f>
        <v>3.4099480197478936E-6</v>
      </c>
      <c r="E5" s="433">
        <f>SUM(E6:E11)</f>
        <v>1.027410142363697E-4</v>
      </c>
      <c r="F5" s="446" t="s">
        <v>211</v>
      </c>
      <c r="G5" s="433">
        <f>SUM(G6:G11)</f>
        <v>1.9931251096883283E-2</v>
      </c>
      <c r="H5" s="433">
        <f>SUM(H6:H11)</f>
        <v>5.0650991957036443E-3</v>
      </c>
      <c r="I5" s="448" t="s">
        <v>211</v>
      </c>
      <c r="J5" s="448" t="s">
        <v>211</v>
      </c>
      <c r="K5" s="448" t="s">
        <v>211</v>
      </c>
      <c r="L5" s="448" t="s">
        <v>211</v>
      </c>
      <c r="M5" s="433">
        <f>SUM(M6:M11)</f>
        <v>1.1307783454204265E-3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1.1675450242038915E-6</v>
      </c>
      <c r="C6" s="887"/>
      <c r="D6" s="887">
        <f>vkm_2011_GW_PW*SUMIFS(TableVerdeelsleutelVkm[CNG],TableVerdeelsleutelVkm[Voertuigtype],"Lichte voertuigen")*SUMIFS(TableECFTransport[EnergieConsumptieFactor (PJ per km)],TableECFTransport[Index],CONCATENATE($A6,"_CNG_CNG"))</f>
        <v>1.6534721034459377E-6</v>
      </c>
      <c r="E6" s="887">
        <f>vkm_2011_GW_PW*SUMIFS(TableVerdeelsleutelVkm[LPG],TableVerdeelsleutelVkm[Voertuigtype],"Lichte voertuigen")*SUMIFS(TableECFTransport[EnergieConsumptieFactor (PJ per km)],TableECFTransport[Index],CONCATENATE($A6,"_LPG_LPG"))</f>
        <v>5.1930115395366168E-5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9.3332636890045995E-3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2.5009231065318662E-3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5.3541642410709432E-4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1.8830945112240129E-3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6.6904395824434018E-7</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8.4978095708468994E-5</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6.9619192425190753E-7</v>
      </c>
      <c r="C8" s="887"/>
      <c r="D8" s="436">
        <f>vkm_2011_NGW_PW*SUMIFS(TableVerdeelsleutelVkm[CNG],TableVerdeelsleutelVkm[Voertuigtype],"Lichte voertuigen")*SUMIFS(TableECFTransport[EnergieConsumptieFactor (PJ per km)],TableECFTransport[Index],CONCATENATE($A8,"_CNG_CNG"))</f>
        <v>1.7564759163019562E-6</v>
      </c>
      <c r="E8" s="436">
        <f>vkm_2011_NGW_PW*SUMIFS(TableVerdeelsleutelVkm[LPG],TableVerdeelsleutelVkm[Voertuigtype],"Lichte voertuigen")*SUMIFS(TableECFTransport[EnergieConsumptieFactor (PJ per km)],TableECFTransport[Index],CONCATENATE($A8,"_LPG_LPG"))</f>
        <v>5.0810898841003529E-5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8.6129400666632439E-3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2.563472767920065E-3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5.0578310602879858E-4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1.0195282999142402E-4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3.4277293468601676E-8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4.6007195760646317E-6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0.51770470790438861</v>
      </c>
      <c r="C14" s="21"/>
      <c r="D14" s="21">
        <f t="shared" ref="D14:M14" si="0">((D5)*10^9/3600)+D12</f>
        <v>0.94720778326330379</v>
      </c>
      <c r="E14" s="21">
        <f t="shared" si="0"/>
        <v>28.53917062121381</v>
      </c>
      <c r="F14" s="21"/>
      <c r="G14" s="21">
        <f t="shared" si="0"/>
        <v>5536.458638023134</v>
      </c>
      <c r="H14" s="21">
        <f t="shared" si="0"/>
        <v>1406.9719988065679</v>
      </c>
      <c r="I14" s="21"/>
      <c r="J14" s="21"/>
      <c r="K14" s="21"/>
      <c r="L14" s="21"/>
      <c r="M14" s="21">
        <f t="shared" si="0"/>
        <v>314.10509595011848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0.20619980995323592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0.10675061238178045</v>
      </c>
      <c r="C18" s="23"/>
      <c r="D18" s="23">
        <f t="shared" ref="D18:M18" si="1">D14*D16</f>
        <v>0.19133597221918738</v>
      </c>
      <c r="E18" s="23">
        <f t="shared" si="1"/>
        <v>6.4783917310155346</v>
      </c>
      <c r="F18" s="23"/>
      <c r="G18" s="23">
        <f t="shared" si="1"/>
        <v>1478.2344563521769</v>
      </c>
      <c r="H18" s="23">
        <f t="shared" si="1"/>
        <v>350.33602770283539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4.7962219386155839E-4</v>
      </c>
      <c r="H50" s="323">
        <f t="shared" si="2"/>
        <v>0</v>
      </c>
      <c r="I50" s="323">
        <f t="shared" si="2"/>
        <v>0</v>
      </c>
      <c r="J50" s="323">
        <f t="shared" si="2"/>
        <v>0</v>
      </c>
      <c r="K50" s="323">
        <f t="shared" si="2"/>
        <v>0</v>
      </c>
      <c r="L50" s="323">
        <f t="shared" si="2"/>
        <v>0</v>
      </c>
      <c r="M50" s="323">
        <f t="shared" si="2"/>
        <v>2.1329972076802904E-5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4.7962219386155839E-4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2.1329972076802904E-5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133.22838718376622</v>
      </c>
      <c r="H54" s="21">
        <f t="shared" si="3"/>
        <v>0</v>
      </c>
      <c r="I54" s="21">
        <f t="shared" si="3"/>
        <v>0</v>
      </c>
      <c r="J54" s="21">
        <f t="shared" si="3"/>
        <v>0</v>
      </c>
      <c r="K54" s="21">
        <f t="shared" si="3"/>
        <v>0</v>
      </c>
      <c r="L54" s="21">
        <f t="shared" si="3"/>
        <v>0</v>
      </c>
      <c r="M54" s="21">
        <f t="shared" si="3"/>
        <v>5.9249922435563622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0.20619980995323592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35.571979378065585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1130.9131629975375</v>
      </c>
      <c r="D10" s="690">
        <f ca="1">tertiair!C16</f>
        <v>0</v>
      </c>
      <c r="E10" s="690">
        <f ca="1">tertiair!D16</f>
        <v>704.62666693189954</v>
      </c>
      <c r="F10" s="690">
        <f>tertiair!E16</f>
        <v>13.420282270388189</v>
      </c>
      <c r="G10" s="690">
        <f ca="1">tertiair!F16</f>
        <v>188.43369689505244</v>
      </c>
      <c r="H10" s="690">
        <f>tertiair!G16</f>
        <v>0</v>
      </c>
      <c r="I10" s="690">
        <f>tertiair!H16</f>
        <v>0</v>
      </c>
      <c r="J10" s="690">
        <f>tertiair!I16</f>
        <v>0</v>
      </c>
      <c r="K10" s="690">
        <f>tertiair!J16</f>
        <v>0</v>
      </c>
      <c r="L10" s="690">
        <f>tertiair!K16</f>
        <v>0</v>
      </c>
      <c r="M10" s="690">
        <f ca="1">tertiair!L16</f>
        <v>0</v>
      </c>
      <c r="N10" s="690">
        <f>tertiair!M16</f>
        <v>0</v>
      </c>
      <c r="O10" s="690">
        <f ca="1">tertiair!N16</f>
        <v>60.235372543602494</v>
      </c>
      <c r="P10" s="690">
        <f>tertiair!O16</f>
        <v>0</v>
      </c>
      <c r="Q10" s="691">
        <f>tertiair!P16</f>
        <v>0</v>
      </c>
      <c r="R10" s="693">
        <f ca="1">SUM(C10:Q10)</f>
        <v>2097.6291816384801</v>
      </c>
      <c r="S10" s="67"/>
    </row>
    <row r="11" spans="1:19" s="458" customFormat="1">
      <c r="A11" s="805" t="s">
        <v>225</v>
      </c>
      <c r="B11" s="810"/>
      <c r="C11" s="690">
        <f>huishoudens!B8</f>
        <v>4191.9810688887201</v>
      </c>
      <c r="D11" s="690">
        <f>huishoudens!C8</f>
        <v>0</v>
      </c>
      <c r="E11" s="690">
        <f>huishoudens!D8</f>
        <v>1901.6590316932518</v>
      </c>
      <c r="F11" s="690">
        <f>huishoudens!E8</f>
        <v>2952.7972587126301</v>
      </c>
      <c r="G11" s="690">
        <f>huishoudens!F8</f>
        <v>10562.329488721991</v>
      </c>
      <c r="H11" s="690">
        <f>huishoudens!G8</f>
        <v>0</v>
      </c>
      <c r="I11" s="690">
        <f>huishoudens!H8</f>
        <v>0</v>
      </c>
      <c r="J11" s="690">
        <f>huishoudens!I8</f>
        <v>0</v>
      </c>
      <c r="K11" s="690">
        <f>huishoudens!J8</f>
        <v>1069.9648606383669</v>
      </c>
      <c r="L11" s="690">
        <f>huishoudens!K8</f>
        <v>0</v>
      </c>
      <c r="M11" s="690">
        <f>huishoudens!L8</f>
        <v>0</v>
      </c>
      <c r="N11" s="690">
        <f>huishoudens!M8</f>
        <v>0</v>
      </c>
      <c r="O11" s="690">
        <f>huishoudens!N8</f>
        <v>5277.4735032905164</v>
      </c>
      <c r="P11" s="690">
        <f>huishoudens!O8</f>
        <v>29.703333333333333</v>
      </c>
      <c r="Q11" s="691">
        <f>huishoudens!P8</f>
        <v>57.2</v>
      </c>
      <c r="R11" s="693">
        <f>SUM(C11:Q11)</f>
        <v>26043.10854527881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118.05818802185199</v>
      </c>
      <c r="D13" s="690">
        <f>industrie!C18</f>
        <v>0</v>
      </c>
      <c r="E13" s="690">
        <f>industrie!D18</f>
        <v>0</v>
      </c>
      <c r="F13" s="690">
        <f>industrie!E18</f>
        <v>6.5862496840948861</v>
      </c>
      <c r="G13" s="690">
        <f>industrie!F18</f>
        <v>27.753074332397507</v>
      </c>
      <c r="H13" s="690">
        <f>industrie!G18</f>
        <v>0</v>
      </c>
      <c r="I13" s="690">
        <f>industrie!H18</f>
        <v>0</v>
      </c>
      <c r="J13" s="690">
        <f>industrie!I18</f>
        <v>0</v>
      </c>
      <c r="K13" s="690">
        <f>industrie!J18</f>
        <v>0.3025905601341875</v>
      </c>
      <c r="L13" s="690">
        <f>industrie!K18</f>
        <v>0</v>
      </c>
      <c r="M13" s="690">
        <f>industrie!L18</f>
        <v>0</v>
      </c>
      <c r="N13" s="690">
        <f>industrie!M18</f>
        <v>0</v>
      </c>
      <c r="O13" s="690">
        <f>industrie!N18</f>
        <v>23.169288585961983</v>
      </c>
      <c r="P13" s="690">
        <f>industrie!O18</f>
        <v>0</v>
      </c>
      <c r="Q13" s="691">
        <f>industrie!P18</f>
        <v>0</v>
      </c>
      <c r="R13" s="693">
        <f>SUM(C13:Q13)</f>
        <v>175.86939118444056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5440.9524199081097</v>
      </c>
      <c r="D16" s="725">
        <f t="shared" ref="D16:R16" ca="1" si="0">SUM(D9:D15)</f>
        <v>0</v>
      </c>
      <c r="E16" s="725">
        <f t="shared" ca="1" si="0"/>
        <v>2606.2856986251513</v>
      </c>
      <c r="F16" s="725">
        <f t="shared" si="0"/>
        <v>2972.8037906671134</v>
      </c>
      <c r="G16" s="725">
        <f t="shared" ca="1" si="0"/>
        <v>10778.51625994944</v>
      </c>
      <c r="H16" s="725">
        <f t="shared" si="0"/>
        <v>0</v>
      </c>
      <c r="I16" s="725">
        <f t="shared" si="0"/>
        <v>0</v>
      </c>
      <c r="J16" s="725">
        <f t="shared" si="0"/>
        <v>0</v>
      </c>
      <c r="K16" s="725">
        <f t="shared" si="0"/>
        <v>1070.267451198501</v>
      </c>
      <c r="L16" s="725">
        <f t="shared" si="0"/>
        <v>0</v>
      </c>
      <c r="M16" s="725">
        <f t="shared" ca="1" si="0"/>
        <v>0</v>
      </c>
      <c r="N16" s="725">
        <f t="shared" si="0"/>
        <v>0</v>
      </c>
      <c r="O16" s="725">
        <f t="shared" ca="1" si="0"/>
        <v>5360.8781644200808</v>
      </c>
      <c r="P16" s="725">
        <f t="shared" si="0"/>
        <v>29.703333333333333</v>
      </c>
      <c r="Q16" s="725">
        <f t="shared" si="0"/>
        <v>57.2</v>
      </c>
      <c r="R16" s="725">
        <f t="shared" ca="1" si="0"/>
        <v>28316.607118101732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133.22838718376622</v>
      </c>
      <c r="I19" s="690">
        <f>transport!H54</f>
        <v>0</v>
      </c>
      <c r="J19" s="690">
        <f>transport!I54</f>
        <v>0</v>
      </c>
      <c r="K19" s="690">
        <f>transport!J54</f>
        <v>0</v>
      </c>
      <c r="L19" s="690">
        <f>transport!K54</f>
        <v>0</v>
      </c>
      <c r="M19" s="690">
        <f>transport!L54</f>
        <v>0</v>
      </c>
      <c r="N19" s="690">
        <f>transport!M54</f>
        <v>5.9249922435563622</v>
      </c>
      <c r="O19" s="690">
        <f>transport!N54</f>
        <v>0</v>
      </c>
      <c r="P19" s="690">
        <f>transport!O54</f>
        <v>0</v>
      </c>
      <c r="Q19" s="691">
        <f>transport!P54</f>
        <v>0</v>
      </c>
      <c r="R19" s="693">
        <f>SUM(C19:Q19)</f>
        <v>139.15337942732259</v>
      </c>
      <c r="S19" s="67"/>
    </row>
    <row r="20" spans="1:19" s="458" customFormat="1">
      <c r="A20" s="805" t="s">
        <v>307</v>
      </c>
      <c r="B20" s="810"/>
      <c r="C20" s="690">
        <f>transport!B14</f>
        <v>0.51770470790438861</v>
      </c>
      <c r="D20" s="690">
        <f>transport!C14</f>
        <v>0</v>
      </c>
      <c r="E20" s="690">
        <f>transport!D14</f>
        <v>0.94720778326330379</v>
      </c>
      <c r="F20" s="690">
        <f>transport!E14</f>
        <v>28.53917062121381</v>
      </c>
      <c r="G20" s="690">
        <f>transport!F14</f>
        <v>0</v>
      </c>
      <c r="H20" s="690">
        <f>transport!G14</f>
        <v>5536.458638023134</v>
      </c>
      <c r="I20" s="690">
        <f>transport!H14</f>
        <v>1406.9719988065679</v>
      </c>
      <c r="J20" s="690">
        <f>transport!I14</f>
        <v>0</v>
      </c>
      <c r="K20" s="690">
        <f>transport!J14</f>
        <v>0</v>
      </c>
      <c r="L20" s="690">
        <f>transport!K14</f>
        <v>0</v>
      </c>
      <c r="M20" s="690">
        <f>transport!L14</f>
        <v>0</v>
      </c>
      <c r="N20" s="690">
        <f>transport!M14</f>
        <v>314.10509595011848</v>
      </c>
      <c r="O20" s="690">
        <f>transport!N14</f>
        <v>0</v>
      </c>
      <c r="P20" s="690">
        <f>transport!O14</f>
        <v>0</v>
      </c>
      <c r="Q20" s="691">
        <f>transport!P14</f>
        <v>0</v>
      </c>
      <c r="R20" s="693">
        <f>SUM(C20:Q20)</f>
        <v>7287.5398158922017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0.51770470790438861</v>
      </c>
      <c r="D22" s="808">
        <f t="shared" ref="D22:R22" si="1">SUM(D18:D21)</f>
        <v>0</v>
      </c>
      <c r="E22" s="808">
        <f t="shared" si="1"/>
        <v>0.94720778326330379</v>
      </c>
      <c r="F22" s="808">
        <f t="shared" si="1"/>
        <v>28.53917062121381</v>
      </c>
      <c r="G22" s="808">
        <f t="shared" si="1"/>
        <v>0</v>
      </c>
      <c r="H22" s="808">
        <f t="shared" si="1"/>
        <v>5669.6870252069002</v>
      </c>
      <c r="I22" s="808">
        <f t="shared" si="1"/>
        <v>1406.9719988065679</v>
      </c>
      <c r="J22" s="808">
        <f t="shared" si="1"/>
        <v>0</v>
      </c>
      <c r="K22" s="808">
        <f t="shared" si="1"/>
        <v>0</v>
      </c>
      <c r="L22" s="808">
        <f t="shared" si="1"/>
        <v>0</v>
      </c>
      <c r="M22" s="808">
        <f t="shared" si="1"/>
        <v>0</v>
      </c>
      <c r="N22" s="808">
        <f t="shared" si="1"/>
        <v>320.03008819367483</v>
      </c>
      <c r="O22" s="808">
        <f t="shared" si="1"/>
        <v>0</v>
      </c>
      <c r="P22" s="808">
        <f t="shared" si="1"/>
        <v>0</v>
      </c>
      <c r="Q22" s="808">
        <f t="shared" si="1"/>
        <v>0</v>
      </c>
      <c r="R22" s="808">
        <f t="shared" si="1"/>
        <v>7426.6931953195244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496.2560823764191</v>
      </c>
      <c r="D24" s="690">
        <f>+landbouw!C8</f>
        <v>0</v>
      </c>
      <c r="E24" s="690">
        <f>+landbouw!D8</f>
        <v>0</v>
      </c>
      <c r="F24" s="690">
        <f>+landbouw!E8</f>
        <v>6.2534659457614143</v>
      </c>
      <c r="G24" s="690">
        <f>+landbouw!F8</f>
        <v>1712.2078037756808</v>
      </c>
      <c r="H24" s="690">
        <f>+landbouw!G8</f>
        <v>0</v>
      </c>
      <c r="I24" s="690">
        <f>+landbouw!H8</f>
        <v>0</v>
      </c>
      <c r="J24" s="690">
        <f>+landbouw!I8</f>
        <v>0</v>
      </c>
      <c r="K24" s="690">
        <f>+landbouw!J8</f>
        <v>74.631273549366867</v>
      </c>
      <c r="L24" s="690">
        <f>+landbouw!K8</f>
        <v>0</v>
      </c>
      <c r="M24" s="690">
        <f>+landbouw!L8</f>
        <v>0</v>
      </c>
      <c r="N24" s="690">
        <f>+landbouw!M8</f>
        <v>0</v>
      </c>
      <c r="O24" s="690">
        <f>+landbouw!N8</f>
        <v>0</v>
      </c>
      <c r="P24" s="690">
        <f>+landbouw!O8</f>
        <v>0</v>
      </c>
      <c r="Q24" s="691">
        <f>+landbouw!P8</f>
        <v>0</v>
      </c>
      <c r="R24" s="693">
        <f>SUM(C24:Q24)</f>
        <v>2289.3486256472283</v>
      </c>
      <c r="S24" s="67"/>
    </row>
    <row r="25" spans="1:19" s="458" customFormat="1" ht="15" thickBot="1">
      <c r="A25" s="827" t="s">
        <v>872</v>
      </c>
      <c r="B25" s="1004"/>
      <c r="C25" s="1005">
        <f>IF(Onbekend_ele_kWh="---",0,Onbekend_ele_kWh)/1000+IF(REST_rest_ele_kWh="---",0,REST_rest_ele_kWh)/1000</f>
        <v>104.69383406324499</v>
      </c>
      <c r="D25" s="1005"/>
      <c r="E25" s="1005">
        <f>IF(onbekend_gas_kWh="---",0,onbekend_gas_kWh)/1000+IF(REST_rest_gas_kWh="---",0,REST_rest_gas_kWh)/1000</f>
        <v>113.225052012597</v>
      </c>
      <c r="F25" s="1005"/>
      <c r="G25" s="1005"/>
      <c r="H25" s="1005"/>
      <c r="I25" s="1005"/>
      <c r="J25" s="1005"/>
      <c r="K25" s="1005"/>
      <c r="L25" s="1005"/>
      <c r="M25" s="1005"/>
      <c r="N25" s="1005"/>
      <c r="O25" s="1005"/>
      <c r="P25" s="1005"/>
      <c r="Q25" s="1006"/>
      <c r="R25" s="693">
        <f>SUM(C25:Q25)</f>
        <v>217.91888607584201</v>
      </c>
      <c r="S25" s="67"/>
    </row>
    <row r="26" spans="1:19" s="458" customFormat="1" ht="15.75" thickBot="1">
      <c r="A26" s="698" t="s">
        <v>873</v>
      </c>
      <c r="B26" s="813"/>
      <c r="C26" s="808">
        <f>SUM(C24:C25)</f>
        <v>600.94991643966409</v>
      </c>
      <c r="D26" s="808">
        <f t="shared" ref="D26:R26" si="2">SUM(D24:D25)</f>
        <v>0</v>
      </c>
      <c r="E26" s="808">
        <f t="shared" si="2"/>
        <v>113.225052012597</v>
      </c>
      <c r="F26" s="808">
        <f t="shared" si="2"/>
        <v>6.2534659457614143</v>
      </c>
      <c r="G26" s="808">
        <f t="shared" si="2"/>
        <v>1712.2078037756808</v>
      </c>
      <c r="H26" s="808">
        <f t="shared" si="2"/>
        <v>0</v>
      </c>
      <c r="I26" s="808">
        <f t="shared" si="2"/>
        <v>0</v>
      </c>
      <c r="J26" s="808">
        <f t="shared" si="2"/>
        <v>0</v>
      </c>
      <c r="K26" s="808">
        <f t="shared" si="2"/>
        <v>74.631273549366867</v>
      </c>
      <c r="L26" s="808">
        <f t="shared" si="2"/>
        <v>0</v>
      </c>
      <c r="M26" s="808">
        <f t="shared" si="2"/>
        <v>0</v>
      </c>
      <c r="N26" s="808">
        <f t="shared" si="2"/>
        <v>0</v>
      </c>
      <c r="O26" s="808">
        <f t="shared" si="2"/>
        <v>0</v>
      </c>
      <c r="P26" s="808">
        <f t="shared" si="2"/>
        <v>0</v>
      </c>
      <c r="Q26" s="808">
        <f t="shared" si="2"/>
        <v>0</v>
      </c>
      <c r="R26" s="808">
        <f t="shared" si="2"/>
        <v>2507.2675117230701</v>
      </c>
      <c r="S26" s="67"/>
    </row>
    <row r="27" spans="1:19" s="458" customFormat="1" ht="17.25" thickTop="1" thickBot="1">
      <c r="A27" s="699" t="s">
        <v>116</v>
      </c>
      <c r="B27" s="800"/>
      <c r="C27" s="700">
        <f ca="1">C22+C16+C26</f>
        <v>6042.4200410556778</v>
      </c>
      <c r="D27" s="700">
        <f t="shared" ref="D27:R27" ca="1" si="3">D22+D16+D26</f>
        <v>0</v>
      </c>
      <c r="E27" s="700">
        <f t="shared" ca="1" si="3"/>
        <v>2720.4579584210119</v>
      </c>
      <c r="F27" s="700">
        <f t="shared" si="3"/>
        <v>3007.5964272340889</v>
      </c>
      <c r="G27" s="700">
        <f t="shared" ca="1" si="3"/>
        <v>12490.72406372512</v>
      </c>
      <c r="H27" s="700">
        <f t="shared" si="3"/>
        <v>5669.6870252069002</v>
      </c>
      <c r="I27" s="700">
        <f t="shared" si="3"/>
        <v>1406.9719988065679</v>
      </c>
      <c r="J27" s="700">
        <f t="shared" si="3"/>
        <v>0</v>
      </c>
      <c r="K27" s="700">
        <f t="shared" si="3"/>
        <v>1144.8987247478678</v>
      </c>
      <c r="L27" s="700">
        <f t="shared" si="3"/>
        <v>0</v>
      </c>
      <c r="M27" s="700">
        <f t="shared" ca="1" si="3"/>
        <v>0</v>
      </c>
      <c r="N27" s="700">
        <f t="shared" si="3"/>
        <v>320.03008819367483</v>
      </c>
      <c r="O27" s="700">
        <f t="shared" ca="1" si="3"/>
        <v>5360.8781644200808</v>
      </c>
      <c r="P27" s="700">
        <f t="shared" si="3"/>
        <v>29.703333333333333</v>
      </c>
      <c r="Q27" s="700">
        <f t="shared" si="3"/>
        <v>57.2</v>
      </c>
      <c r="R27" s="700">
        <f t="shared" ca="1" si="3"/>
        <v>38250.567825144324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233.19407928370515</v>
      </c>
      <c r="D40" s="690">
        <f ca="1">tertiair!C20</f>
        <v>0</v>
      </c>
      <c r="E40" s="690">
        <f ca="1">tertiair!D20</f>
        <v>142.33458672024372</v>
      </c>
      <c r="F40" s="690">
        <f>tertiair!E20</f>
        <v>3.0464040753781187</v>
      </c>
      <c r="G40" s="690">
        <f ca="1">tertiair!F20</f>
        <v>50.311797070979004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428.88686715030599</v>
      </c>
    </row>
    <row r="41" spans="1:18">
      <c r="A41" s="818" t="s">
        <v>225</v>
      </c>
      <c r="B41" s="825"/>
      <c r="C41" s="690">
        <f ca="1">huishoudens!B12</f>
        <v>864.38569973241681</v>
      </c>
      <c r="D41" s="690">
        <f ca="1">huishoudens!C12</f>
        <v>0</v>
      </c>
      <c r="E41" s="690">
        <f>huishoudens!D12</f>
        <v>384.13512440203687</v>
      </c>
      <c r="F41" s="690">
        <f>huishoudens!E12</f>
        <v>670.284977727767</v>
      </c>
      <c r="G41" s="690">
        <f>huishoudens!F12</f>
        <v>2820.1419734887718</v>
      </c>
      <c r="H41" s="690">
        <f>huishoudens!G12</f>
        <v>0</v>
      </c>
      <c r="I41" s="690">
        <f>huishoudens!H12</f>
        <v>0</v>
      </c>
      <c r="J41" s="690">
        <f>huishoudens!I12</f>
        <v>0</v>
      </c>
      <c r="K41" s="690">
        <f>huishoudens!J12</f>
        <v>378.76756066598188</v>
      </c>
      <c r="L41" s="690">
        <f>huishoudens!K12</f>
        <v>0</v>
      </c>
      <c r="M41" s="690">
        <f>huishoudens!L12</f>
        <v>0</v>
      </c>
      <c r="N41" s="690">
        <f>huishoudens!M12</f>
        <v>0</v>
      </c>
      <c r="O41" s="690">
        <f>huishoudens!N12</f>
        <v>0</v>
      </c>
      <c r="P41" s="690">
        <f>huishoudens!O12</f>
        <v>0</v>
      </c>
      <c r="Q41" s="767">
        <f>huishoudens!P12</f>
        <v>0</v>
      </c>
      <c r="R41" s="846">
        <f t="shared" ca="1" si="4"/>
        <v>5117.715336016975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24.343575933529273</v>
      </c>
      <c r="D43" s="690">
        <f ca="1">industrie!C22</f>
        <v>0</v>
      </c>
      <c r="E43" s="690">
        <f>industrie!D22</f>
        <v>0</v>
      </c>
      <c r="F43" s="690">
        <f>industrie!E22</f>
        <v>1.4950786782895391</v>
      </c>
      <c r="G43" s="690">
        <f>industrie!F22</f>
        <v>7.4100708467501351</v>
      </c>
      <c r="H43" s="690">
        <f>industrie!G22</f>
        <v>0</v>
      </c>
      <c r="I43" s="690">
        <f>industrie!H22</f>
        <v>0</v>
      </c>
      <c r="J43" s="690">
        <f>industrie!I22</f>
        <v>0</v>
      </c>
      <c r="K43" s="690">
        <f>industrie!J22</f>
        <v>0.10711705828750237</v>
      </c>
      <c r="L43" s="690">
        <f>industrie!K22</f>
        <v>0</v>
      </c>
      <c r="M43" s="690">
        <f>industrie!L22</f>
        <v>0</v>
      </c>
      <c r="N43" s="690">
        <f>industrie!M22</f>
        <v>0</v>
      </c>
      <c r="O43" s="690">
        <f>industrie!N22</f>
        <v>0</v>
      </c>
      <c r="P43" s="690">
        <f>industrie!O22</f>
        <v>0</v>
      </c>
      <c r="Q43" s="767">
        <f>industrie!P22</f>
        <v>0</v>
      </c>
      <c r="R43" s="845">
        <f t="shared" ca="1" si="4"/>
        <v>33.355842516856448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1121.9233549496512</v>
      </c>
      <c r="D46" s="725">
        <f t="shared" ref="D46:Q46" ca="1" si="5">SUM(D39:D45)</f>
        <v>0</v>
      </c>
      <c r="E46" s="725">
        <f t="shared" ca="1" si="5"/>
        <v>526.46971112228061</v>
      </c>
      <c r="F46" s="725">
        <f t="shared" si="5"/>
        <v>674.82646048143465</v>
      </c>
      <c r="G46" s="725">
        <f t="shared" ca="1" si="5"/>
        <v>2877.8638414065008</v>
      </c>
      <c r="H46" s="725">
        <f t="shared" si="5"/>
        <v>0</v>
      </c>
      <c r="I46" s="725">
        <f t="shared" si="5"/>
        <v>0</v>
      </c>
      <c r="J46" s="725">
        <f t="shared" si="5"/>
        <v>0</v>
      </c>
      <c r="K46" s="725">
        <f t="shared" si="5"/>
        <v>378.87467772426936</v>
      </c>
      <c r="L46" s="725">
        <f t="shared" si="5"/>
        <v>0</v>
      </c>
      <c r="M46" s="725">
        <f t="shared" ca="1" si="5"/>
        <v>0</v>
      </c>
      <c r="N46" s="725">
        <f t="shared" si="5"/>
        <v>0</v>
      </c>
      <c r="O46" s="725">
        <f t="shared" ca="1" si="5"/>
        <v>0</v>
      </c>
      <c r="P46" s="725">
        <f t="shared" si="5"/>
        <v>0</v>
      </c>
      <c r="Q46" s="725">
        <f t="shared" si="5"/>
        <v>0</v>
      </c>
      <c r="R46" s="725">
        <f ca="1">SUM(R39:R45)</f>
        <v>5579.9580456841377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35.571979378065585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35.571979378065585</v>
      </c>
    </row>
    <row r="50" spans="1:18">
      <c r="A50" s="821" t="s">
        <v>307</v>
      </c>
      <c r="B50" s="831"/>
      <c r="C50" s="696">
        <f ca="1">transport!B18</f>
        <v>0.10675061238178045</v>
      </c>
      <c r="D50" s="696">
        <f>transport!C18</f>
        <v>0</v>
      </c>
      <c r="E50" s="696">
        <f>transport!D18</f>
        <v>0.19133597221918738</v>
      </c>
      <c r="F50" s="696">
        <f>transport!E18</f>
        <v>6.4783917310155346</v>
      </c>
      <c r="G50" s="696">
        <f>transport!F18</f>
        <v>0</v>
      </c>
      <c r="H50" s="696">
        <f>transport!G18</f>
        <v>1478.2344563521769</v>
      </c>
      <c r="I50" s="696">
        <f>transport!H18</f>
        <v>350.33602770283539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1835.3469623706287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0.10675061238178045</v>
      </c>
      <c r="D52" s="725">
        <f t="shared" ref="D52:Q52" ca="1" si="6">SUM(D48:D51)</f>
        <v>0</v>
      </c>
      <c r="E52" s="725">
        <f t="shared" si="6"/>
        <v>0.19133597221918738</v>
      </c>
      <c r="F52" s="725">
        <f t="shared" si="6"/>
        <v>6.4783917310155346</v>
      </c>
      <c r="G52" s="725">
        <f t="shared" si="6"/>
        <v>0</v>
      </c>
      <c r="H52" s="725">
        <f t="shared" si="6"/>
        <v>1513.8064357302426</v>
      </c>
      <c r="I52" s="725">
        <f t="shared" si="6"/>
        <v>350.33602770283539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1870.9189417486944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102.32790987415501</v>
      </c>
      <c r="D54" s="696">
        <f ca="1">+landbouw!C12</f>
        <v>0</v>
      </c>
      <c r="E54" s="696">
        <f>+landbouw!D12</f>
        <v>0</v>
      </c>
      <c r="F54" s="696">
        <f>+landbouw!E12</f>
        <v>1.4195367696878411</v>
      </c>
      <c r="G54" s="696">
        <f>+landbouw!F12</f>
        <v>457.15948360810677</v>
      </c>
      <c r="H54" s="696">
        <f>+landbouw!G12</f>
        <v>0</v>
      </c>
      <c r="I54" s="696">
        <f>+landbouw!H12</f>
        <v>0</v>
      </c>
      <c r="J54" s="696">
        <f>+landbouw!I12</f>
        <v>0</v>
      </c>
      <c r="K54" s="696">
        <f>+landbouw!J12</f>
        <v>26.41947083647587</v>
      </c>
      <c r="L54" s="696">
        <f>+landbouw!K12</f>
        <v>0</v>
      </c>
      <c r="M54" s="696">
        <f>+landbouw!L12</f>
        <v>0</v>
      </c>
      <c r="N54" s="696">
        <f>+landbouw!M12</f>
        <v>0</v>
      </c>
      <c r="O54" s="696">
        <f>+landbouw!N12</f>
        <v>0</v>
      </c>
      <c r="P54" s="696">
        <f>+landbouw!O12</f>
        <v>0</v>
      </c>
      <c r="Q54" s="697">
        <f>+landbouw!P12</f>
        <v>0</v>
      </c>
      <c r="R54" s="724">
        <f ca="1">SUM(C54:Q54)</f>
        <v>587.32640108842543</v>
      </c>
    </row>
    <row r="55" spans="1:18" ht="15" thickBot="1">
      <c r="A55" s="821" t="s">
        <v>872</v>
      </c>
      <c r="B55" s="831"/>
      <c r="C55" s="696">
        <f ca="1">C25*'EF ele_warmte'!B12</f>
        <v>21.587848687116736</v>
      </c>
      <c r="D55" s="696"/>
      <c r="E55" s="696">
        <f>E25*EF_CO2_aardgas</f>
        <v>22.871460506544597</v>
      </c>
      <c r="F55" s="696"/>
      <c r="G55" s="696"/>
      <c r="H55" s="696"/>
      <c r="I55" s="696"/>
      <c r="J55" s="696"/>
      <c r="K55" s="696"/>
      <c r="L55" s="696"/>
      <c r="M55" s="696"/>
      <c r="N55" s="696"/>
      <c r="O55" s="696"/>
      <c r="P55" s="696"/>
      <c r="Q55" s="697"/>
      <c r="R55" s="724">
        <f ca="1">SUM(C55:Q55)</f>
        <v>44.459309193661333</v>
      </c>
    </row>
    <row r="56" spans="1:18" ht="15.75" thickBot="1">
      <c r="A56" s="819" t="s">
        <v>873</v>
      </c>
      <c r="B56" s="832"/>
      <c r="C56" s="725">
        <f ca="1">SUM(C54:C55)</f>
        <v>123.91575856127174</v>
      </c>
      <c r="D56" s="725">
        <f t="shared" ref="D56:Q56" ca="1" si="7">SUM(D54:D55)</f>
        <v>0</v>
      </c>
      <c r="E56" s="725">
        <f t="shared" si="7"/>
        <v>22.871460506544597</v>
      </c>
      <c r="F56" s="725">
        <f t="shared" si="7"/>
        <v>1.4195367696878411</v>
      </c>
      <c r="G56" s="725">
        <f t="shared" si="7"/>
        <v>457.15948360810677</v>
      </c>
      <c r="H56" s="725">
        <f t="shared" si="7"/>
        <v>0</v>
      </c>
      <c r="I56" s="725">
        <f t="shared" si="7"/>
        <v>0</v>
      </c>
      <c r="J56" s="725">
        <f t="shared" si="7"/>
        <v>0</v>
      </c>
      <c r="K56" s="725">
        <f t="shared" si="7"/>
        <v>26.41947083647587</v>
      </c>
      <c r="L56" s="725">
        <f t="shared" si="7"/>
        <v>0</v>
      </c>
      <c r="M56" s="725">
        <f t="shared" si="7"/>
        <v>0</v>
      </c>
      <c r="N56" s="725">
        <f t="shared" si="7"/>
        <v>0</v>
      </c>
      <c r="O56" s="725">
        <f t="shared" si="7"/>
        <v>0</v>
      </c>
      <c r="P56" s="725">
        <f t="shared" si="7"/>
        <v>0</v>
      </c>
      <c r="Q56" s="726">
        <f t="shared" si="7"/>
        <v>0</v>
      </c>
      <c r="R56" s="727">
        <f ca="1">SUM(R54:R55)</f>
        <v>631.78571028208671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1245.9458641233048</v>
      </c>
      <c r="D61" s="733">
        <f t="shared" ref="D61:Q61" ca="1" si="8">D46+D52+D56</f>
        <v>0</v>
      </c>
      <c r="E61" s="733">
        <f t="shared" ca="1" si="8"/>
        <v>549.53250760104447</v>
      </c>
      <c r="F61" s="733">
        <f t="shared" si="8"/>
        <v>682.72438898213807</v>
      </c>
      <c r="G61" s="733">
        <f t="shared" ca="1" si="8"/>
        <v>3335.0233250146075</v>
      </c>
      <c r="H61" s="733">
        <f t="shared" si="8"/>
        <v>1513.8064357302426</v>
      </c>
      <c r="I61" s="733">
        <f t="shared" si="8"/>
        <v>350.33602770283539</v>
      </c>
      <c r="J61" s="733">
        <f t="shared" si="8"/>
        <v>0</v>
      </c>
      <c r="K61" s="733">
        <f t="shared" si="8"/>
        <v>405.29414856074521</v>
      </c>
      <c r="L61" s="733">
        <f t="shared" si="8"/>
        <v>0</v>
      </c>
      <c r="M61" s="733">
        <f t="shared" ca="1" si="8"/>
        <v>0</v>
      </c>
      <c r="N61" s="733">
        <f t="shared" si="8"/>
        <v>0</v>
      </c>
      <c r="O61" s="733">
        <f t="shared" ca="1" si="8"/>
        <v>0</v>
      </c>
      <c r="P61" s="733">
        <f t="shared" si="8"/>
        <v>0</v>
      </c>
      <c r="Q61" s="733">
        <f t="shared" si="8"/>
        <v>0</v>
      </c>
      <c r="R61" s="733">
        <f ca="1">R46+R52+R56</f>
        <v>8082.662697714919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0.20619980995323592</v>
      </c>
      <c r="D63" s="776">
        <f t="shared" ca="1" si="9"/>
        <v>0</v>
      </c>
      <c r="E63" s="1011">
        <f t="shared" ca="1" si="9"/>
        <v>0.20200000000000001</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404.65595000000002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404.65595000000002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404.65595000000002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404.65595000000002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4191.9810688887201</v>
      </c>
      <c r="C4" s="462">
        <f>huishoudens!C8</f>
        <v>0</v>
      </c>
      <c r="D4" s="462">
        <f>huishoudens!D8</f>
        <v>1901.6590316932518</v>
      </c>
      <c r="E4" s="462">
        <f>huishoudens!E8</f>
        <v>2952.7972587126301</v>
      </c>
      <c r="F4" s="462">
        <f>huishoudens!F8</f>
        <v>10562.329488721991</v>
      </c>
      <c r="G4" s="462">
        <f>huishoudens!G8</f>
        <v>0</v>
      </c>
      <c r="H4" s="462">
        <f>huishoudens!H8</f>
        <v>0</v>
      </c>
      <c r="I4" s="462">
        <f>huishoudens!I8</f>
        <v>0</v>
      </c>
      <c r="J4" s="462">
        <f>huishoudens!J8</f>
        <v>1069.9648606383669</v>
      </c>
      <c r="K4" s="462">
        <f>huishoudens!K8</f>
        <v>0</v>
      </c>
      <c r="L4" s="462">
        <f>huishoudens!L8</f>
        <v>0</v>
      </c>
      <c r="M4" s="462">
        <f>huishoudens!M8</f>
        <v>0</v>
      </c>
      <c r="N4" s="462">
        <f>huishoudens!N8</f>
        <v>5277.4735032905164</v>
      </c>
      <c r="O4" s="462">
        <f>huishoudens!O8</f>
        <v>29.703333333333333</v>
      </c>
      <c r="P4" s="463">
        <f>huishoudens!P8</f>
        <v>57.2</v>
      </c>
      <c r="Q4" s="464">
        <f>SUM(B4:P4)</f>
        <v>26043.10854527881</v>
      </c>
    </row>
    <row r="5" spans="1:17">
      <c r="A5" s="461" t="s">
        <v>156</v>
      </c>
      <c r="B5" s="462">
        <f ca="1">tertiair!B16</f>
        <v>959.25516299753758</v>
      </c>
      <c r="C5" s="462">
        <f ca="1">tertiair!C16</f>
        <v>0</v>
      </c>
      <c r="D5" s="462">
        <f ca="1">tertiair!D16</f>
        <v>704.62666693189954</v>
      </c>
      <c r="E5" s="462">
        <f>tertiair!E16</f>
        <v>13.420282270388189</v>
      </c>
      <c r="F5" s="462">
        <f ca="1">tertiair!F16</f>
        <v>188.43369689505244</v>
      </c>
      <c r="G5" s="462">
        <f>tertiair!G16</f>
        <v>0</v>
      </c>
      <c r="H5" s="462">
        <f>tertiair!H16</f>
        <v>0</v>
      </c>
      <c r="I5" s="462">
        <f>tertiair!I16</f>
        <v>0</v>
      </c>
      <c r="J5" s="462">
        <f>tertiair!J16</f>
        <v>0</v>
      </c>
      <c r="K5" s="462">
        <f>tertiair!K16</f>
        <v>0</v>
      </c>
      <c r="L5" s="462">
        <f ca="1">tertiair!L16</f>
        <v>0</v>
      </c>
      <c r="M5" s="462">
        <f>tertiair!M16</f>
        <v>0</v>
      </c>
      <c r="N5" s="462">
        <f ca="1">tertiair!N16</f>
        <v>60.235372543602494</v>
      </c>
      <c r="O5" s="462">
        <f>tertiair!O16</f>
        <v>0</v>
      </c>
      <c r="P5" s="463">
        <f>tertiair!P16</f>
        <v>0</v>
      </c>
      <c r="Q5" s="461">
        <f t="shared" ref="Q5:Q14" ca="1" si="0">SUM(B5:P5)</f>
        <v>1925.9711816384804</v>
      </c>
    </row>
    <row r="6" spans="1:17">
      <c r="A6" s="461" t="s">
        <v>194</v>
      </c>
      <c r="B6" s="462">
        <f>'openbare verlichting'!B8</f>
        <v>171.65799999999999</v>
      </c>
      <c r="C6" s="462"/>
      <c r="D6" s="462"/>
      <c r="E6" s="462"/>
      <c r="F6" s="462"/>
      <c r="G6" s="462"/>
      <c r="H6" s="462"/>
      <c r="I6" s="462"/>
      <c r="J6" s="462"/>
      <c r="K6" s="462"/>
      <c r="L6" s="462"/>
      <c r="M6" s="462"/>
      <c r="N6" s="462"/>
      <c r="O6" s="462"/>
      <c r="P6" s="463"/>
      <c r="Q6" s="461">
        <f t="shared" si="0"/>
        <v>171.65799999999999</v>
      </c>
    </row>
    <row r="7" spans="1:17">
      <c r="A7" s="461" t="s">
        <v>112</v>
      </c>
      <c r="B7" s="462">
        <f>landbouw!B8</f>
        <v>496.2560823764191</v>
      </c>
      <c r="C7" s="462">
        <f>landbouw!C8</f>
        <v>0</v>
      </c>
      <c r="D7" s="462">
        <f>landbouw!D8</f>
        <v>0</v>
      </c>
      <c r="E7" s="462">
        <f>landbouw!E8</f>
        <v>6.2534659457614143</v>
      </c>
      <c r="F7" s="462">
        <f>landbouw!F8</f>
        <v>1712.2078037756808</v>
      </c>
      <c r="G7" s="462">
        <f>landbouw!G8</f>
        <v>0</v>
      </c>
      <c r="H7" s="462">
        <f>landbouw!H8</f>
        <v>0</v>
      </c>
      <c r="I7" s="462">
        <f>landbouw!I8</f>
        <v>0</v>
      </c>
      <c r="J7" s="462">
        <f>landbouw!J8</f>
        <v>74.631273549366867</v>
      </c>
      <c r="K7" s="462">
        <f>landbouw!K8</f>
        <v>0</v>
      </c>
      <c r="L7" s="462">
        <f>landbouw!L8</f>
        <v>0</v>
      </c>
      <c r="M7" s="462">
        <f>landbouw!M8</f>
        <v>0</v>
      </c>
      <c r="N7" s="462">
        <f>landbouw!N8</f>
        <v>0</v>
      </c>
      <c r="O7" s="462">
        <f>landbouw!O8</f>
        <v>0</v>
      </c>
      <c r="P7" s="463">
        <f>landbouw!P8</f>
        <v>0</v>
      </c>
      <c r="Q7" s="461">
        <f t="shared" si="0"/>
        <v>2289.3486256472283</v>
      </c>
    </row>
    <row r="8" spans="1:17">
      <c r="A8" s="461" t="s">
        <v>657</v>
      </c>
      <c r="B8" s="462">
        <f>industrie!B18</f>
        <v>118.05818802185199</v>
      </c>
      <c r="C8" s="462">
        <f>industrie!C18</f>
        <v>0</v>
      </c>
      <c r="D8" s="462">
        <f>industrie!D18</f>
        <v>0</v>
      </c>
      <c r="E8" s="462">
        <f>industrie!E18</f>
        <v>6.5862496840948861</v>
      </c>
      <c r="F8" s="462">
        <f>industrie!F18</f>
        <v>27.753074332397507</v>
      </c>
      <c r="G8" s="462">
        <f>industrie!G18</f>
        <v>0</v>
      </c>
      <c r="H8" s="462">
        <f>industrie!H18</f>
        <v>0</v>
      </c>
      <c r="I8" s="462">
        <f>industrie!I18</f>
        <v>0</v>
      </c>
      <c r="J8" s="462">
        <f>industrie!J18</f>
        <v>0.3025905601341875</v>
      </c>
      <c r="K8" s="462">
        <f>industrie!K18</f>
        <v>0</v>
      </c>
      <c r="L8" s="462">
        <f>industrie!L18</f>
        <v>0</v>
      </c>
      <c r="M8" s="462">
        <f>industrie!M18</f>
        <v>0</v>
      </c>
      <c r="N8" s="462">
        <f>industrie!N18</f>
        <v>23.169288585961983</v>
      </c>
      <c r="O8" s="462">
        <f>industrie!O18</f>
        <v>0</v>
      </c>
      <c r="P8" s="463">
        <f>industrie!P18</f>
        <v>0</v>
      </c>
      <c r="Q8" s="461">
        <f t="shared" si="0"/>
        <v>175.86939118444056</v>
      </c>
    </row>
    <row r="9" spans="1:17" s="467" customFormat="1">
      <c r="A9" s="465" t="s">
        <v>574</v>
      </c>
      <c r="B9" s="466">
        <f>transport!B14</f>
        <v>0.51770470790438861</v>
      </c>
      <c r="C9" s="466">
        <f>transport!C14</f>
        <v>0</v>
      </c>
      <c r="D9" s="466">
        <f>transport!D14</f>
        <v>0.94720778326330379</v>
      </c>
      <c r="E9" s="466">
        <f>transport!E14</f>
        <v>28.53917062121381</v>
      </c>
      <c r="F9" s="466">
        <f>transport!F14</f>
        <v>0</v>
      </c>
      <c r="G9" s="466">
        <f>transport!G14</f>
        <v>5536.458638023134</v>
      </c>
      <c r="H9" s="466">
        <f>transport!H14</f>
        <v>1406.9719988065679</v>
      </c>
      <c r="I9" s="466">
        <f>transport!I14</f>
        <v>0</v>
      </c>
      <c r="J9" s="466">
        <f>transport!J14</f>
        <v>0</v>
      </c>
      <c r="K9" s="466">
        <f>transport!K14</f>
        <v>0</v>
      </c>
      <c r="L9" s="466">
        <f>transport!L14</f>
        <v>0</v>
      </c>
      <c r="M9" s="466">
        <f>transport!M14</f>
        <v>314.10509595011848</v>
      </c>
      <c r="N9" s="466">
        <f>transport!N14</f>
        <v>0</v>
      </c>
      <c r="O9" s="466">
        <f>transport!O14</f>
        <v>0</v>
      </c>
      <c r="P9" s="466">
        <f>transport!P14</f>
        <v>0</v>
      </c>
      <c r="Q9" s="465">
        <f>SUM(B9:P9)</f>
        <v>7287.5398158922017</v>
      </c>
    </row>
    <row r="10" spans="1:17">
      <c r="A10" s="461" t="s">
        <v>564</v>
      </c>
      <c r="B10" s="462">
        <f>transport!B54</f>
        <v>0</v>
      </c>
      <c r="C10" s="462">
        <f>transport!C54</f>
        <v>0</v>
      </c>
      <c r="D10" s="462">
        <f>transport!D54</f>
        <v>0</v>
      </c>
      <c r="E10" s="462">
        <f>transport!E54</f>
        <v>0</v>
      </c>
      <c r="F10" s="462">
        <f>transport!F54</f>
        <v>0</v>
      </c>
      <c r="G10" s="462">
        <f>transport!G54</f>
        <v>133.22838718376622</v>
      </c>
      <c r="H10" s="462">
        <f>transport!H54</f>
        <v>0</v>
      </c>
      <c r="I10" s="462">
        <f>transport!I54</f>
        <v>0</v>
      </c>
      <c r="J10" s="462">
        <f>transport!J54</f>
        <v>0</v>
      </c>
      <c r="K10" s="462">
        <f>transport!K54</f>
        <v>0</v>
      </c>
      <c r="L10" s="462">
        <f>transport!L54</f>
        <v>0</v>
      </c>
      <c r="M10" s="462">
        <f>transport!M54</f>
        <v>5.9249922435563622</v>
      </c>
      <c r="N10" s="462">
        <f>transport!N54</f>
        <v>0</v>
      </c>
      <c r="O10" s="462">
        <f>transport!O54</f>
        <v>0</v>
      </c>
      <c r="P10" s="463">
        <f>transport!P54</f>
        <v>0</v>
      </c>
      <c r="Q10" s="461">
        <f t="shared" si="0"/>
        <v>139.15337942732259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104.69383406324499</v>
      </c>
      <c r="C14" s="469"/>
      <c r="D14" s="469">
        <f>'SEAP template'!E25</f>
        <v>113.225052012597</v>
      </c>
      <c r="E14" s="469"/>
      <c r="F14" s="469"/>
      <c r="G14" s="469"/>
      <c r="H14" s="469"/>
      <c r="I14" s="469"/>
      <c r="J14" s="469"/>
      <c r="K14" s="469"/>
      <c r="L14" s="469"/>
      <c r="M14" s="469"/>
      <c r="N14" s="469"/>
      <c r="O14" s="469"/>
      <c r="P14" s="470"/>
      <c r="Q14" s="461">
        <f t="shared" si="0"/>
        <v>217.91888607584201</v>
      </c>
    </row>
    <row r="15" spans="1:17" s="474" customFormat="1">
      <c r="A15" s="471" t="s">
        <v>568</v>
      </c>
      <c r="B15" s="472">
        <f ca="1">SUM(B4:B14)</f>
        <v>6042.4200410556787</v>
      </c>
      <c r="C15" s="472">
        <f t="shared" ref="C15:Q15" ca="1" si="1">SUM(C4:C14)</f>
        <v>0</v>
      </c>
      <c r="D15" s="472">
        <f t="shared" ca="1" si="1"/>
        <v>2720.4579584210119</v>
      </c>
      <c r="E15" s="472">
        <f t="shared" si="1"/>
        <v>3007.5964272340889</v>
      </c>
      <c r="F15" s="472">
        <f t="shared" ca="1" si="1"/>
        <v>12490.72406372512</v>
      </c>
      <c r="G15" s="472">
        <f t="shared" si="1"/>
        <v>5669.6870252069002</v>
      </c>
      <c r="H15" s="472">
        <f t="shared" si="1"/>
        <v>1406.9719988065679</v>
      </c>
      <c r="I15" s="472">
        <f t="shared" si="1"/>
        <v>0</v>
      </c>
      <c r="J15" s="472">
        <f t="shared" si="1"/>
        <v>1144.8987247478678</v>
      </c>
      <c r="K15" s="472">
        <f t="shared" si="1"/>
        <v>0</v>
      </c>
      <c r="L15" s="472">
        <f t="shared" ca="1" si="1"/>
        <v>0</v>
      </c>
      <c r="M15" s="472">
        <f t="shared" si="1"/>
        <v>320.03008819367483</v>
      </c>
      <c r="N15" s="472">
        <f t="shared" ca="1" si="1"/>
        <v>5360.8781644200808</v>
      </c>
      <c r="O15" s="472">
        <f t="shared" si="1"/>
        <v>29.703333333333333</v>
      </c>
      <c r="P15" s="472">
        <f t="shared" si="1"/>
        <v>57.2</v>
      </c>
      <c r="Q15" s="472">
        <f t="shared" ca="1" si="1"/>
        <v>38250.567825144324</v>
      </c>
    </row>
    <row r="17" spans="1:17">
      <c r="A17" s="475" t="s">
        <v>569</v>
      </c>
      <c r="B17" s="781">
        <f ca="1">huishoudens!B10</f>
        <v>0.20619980995323592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864.38569973241681</v>
      </c>
      <c r="C22" s="462">
        <f t="shared" ref="C22:C32" ca="1" si="3">C4*$C$17</f>
        <v>0</v>
      </c>
      <c r="D22" s="462">
        <f t="shared" ref="D22:D32" si="4">D4*$D$17</f>
        <v>384.13512440203687</v>
      </c>
      <c r="E22" s="462">
        <f t="shared" ref="E22:E32" si="5">E4*$E$17</f>
        <v>670.284977727767</v>
      </c>
      <c r="F22" s="462">
        <f t="shared" ref="F22:F32" si="6">F4*$F$17</f>
        <v>2820.1419734887718</v>
      </c>
      <c r="G22" s="462">
        <f t="shared" ref="G22:G32" si="7">G4*$G$17</f>
        <v>0</v>
      </c>
      <c r="H22" s="462">
        <f t="shared" ref="H22:H32" si="8">H4*$H$17</f>
        <v>0</v>
      </c>
      <c r="I22" s="462">
        <f t="shared" ref="I22:I32" si="9">I4*$I$17</f>
        <v>0</v>
      </c>
      <c r="J22" s="462">
        <f t="shared" ref="J22:J32" si="10">J4*$J$17</f>
        <v>378.76756066598188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5117.715336016975</v>
      </c>
    </row>
    <row r="23" spans="1:17">
      <c r="A23" s="461" t="s">
        <v>156</v>
      </c>
      <c r="B23" s="462">
        <f t="shared" ca="1" si="2"/>
        <v>197.7982323067526</v>
      </c>
      <c r="C23" s="462">
        <f t="shared" ca="1" si="3"/>
        <v>0</v>
      </c>
      <c r="D23" s="462">
        <f t="shared" ca="1" si="4"/>
        <v>142.33458672024372</v>
      </c>
      <c r="E23" s="462">
        <f t="shared" si="5"/>
        <v>3.0464040753781187</v>
      </c>
      <c r="F23" s="462">
        <f t="shared" ca="1" si="6"/>
        <v>50.311797070979004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393.49102017335349</v>
      </c>
    </row>
    <row r="24" spans="1:17">
      <c r="A24" s="461" t="s">
        <v>194</v>
      </c>
      <c r="B24" s="462">
        <f t="shared" ca="1" si="2"/>
        <v>35.395846976952569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35.395846976952569</v>
      </c>
    </row>
    <row r="25" spans="1:17">
      <c r="A25" s="461" t="s">
        <v>112</v>
      </c>
      <c r="B25" s="462">
        <f t="shared" ca="1" si="2"/>
        <v>102.32790987415501</v>
      </c>
      <c r="C25" s="462">
        <f t="shared" ca="1" si="3"/>
        <v>0</v>
      </c>
      <c r="D25" s="462">
        <f t="shared" si="4"/>
        <v>0</v>
      </c>
      <c r="E25" s="462">
        <f t="shared" si="5"/>
        <v>1.4195367696878411</v>
      </c>
      <c r="F25" s="462">
        <f t="shared" si="6"/>
        <v>457.15948360810677</v>
      </c>
      <c r="G25" s="462">
        <f t="shared" si="7"/>
        <v>0</v>
      </c>
      <c r="H25" s="462">
        <f t="shared" si="8"/>
        <v>0</v>
      </c>
      <c r="I25" s="462">
        <f t="shared" si="9"/>
        <v>0</v>
      </c>
      <c r="J25" s="462">
        <f t="shared" si="10"/>
        <v>26.41947083647587</v>
      </c>
      <c r="K25" s="462">
        <f t="shared" si="11"/>
        <v>0</v>
      </c>
      <c r="L25" s="462">
        <f t="shared" si="12"/>
        <v>0</v>
      </c>
      <c r="M25" s="462">
        <f t="shared" si="13"/>
        <v>0</v>
      </c>
      <c r="N25" s="462">
        <f t="shared" si="14"/>
        <v>0</v>
      </c>
      <c r="O25" s="462">
        <f t="shared" si="15"/>
        <v>0</v>
      </c>
      <c r="P25" s="463">
        <f t="shared" si="16"/>
        <v>0</v>
      </c>
      <c r="Q25" s="461">
        <f t="shared" ca="1" si="17"/>
        <v>587.32640108842543</v>
      </c>
    </row>
    <row r="26" spans="1:17">
      <c r="A26" s="461" t="s">
        <v>657</v>
      </c>
      <c r="B26" s="462">
        <f t="shared" ca="1" si="2"/>
        <v>24.343575933529273</v>
      </c>
      <c r="C26" s="462">
        <f t="shared" ca="1" si="3"/>
        <v>0</v>
      </c>
      <c r="D26" s="462">
        <f t="shared" si="4"/>
        <v>0</v>
      </c>
      <c r="E26" s="462">
        <f t="shared" si="5"/>
        <v>1.4950786782895391</v>
      </c>
      <c r="F26" s="462">
        <f t="shared" si="6"/>
        <v>7.4100708467501351</v>
      </c>
      <c r="G26" s="462">
        <f t="shared" si="7"/>
        <v>0</v>
      </c>
      <c r="H26" s="462">
        <f t="shared" si="8"/>
        <v>0</v>
      </c>
      <c r="I26" s="462">
        <f t="shared" si="9"/>
        <v>0</v>
      </c>
      <c r="J26" s="462">
        <f t="shared" si="10"/>
        <v>0.10711705828750237</v>
      </c>
      <c r="K26" s="462">
        <f t="shared" si="11"/>
        <v>0</v>
      </c>
      <c r="L26" s="462">
        <f t="shared" si="12"/>
        <v>0</v>
      </c>
      <c r="M26" s="462">
        <f t="shared" si="13"/>
        <v>0</v>
      </c>
      <c r="N26" s="462">
        <f t="shared" si="14"/>
        <v>0</v>
      </c>
      <c r="O26" s="462">
        <f t="shared" si="15"/>
        <v>0</v>
      </c>
      <c r="P26" s="463">
        <f t="shared" si="16"/>
        <v>0</v>
      </c>
      <c r="Q26" s="461">
        <f t="shared" ca="1" si="17"/>
        <v>33.355842516856448</v>
      </c>
    </row>
    <row r="27" spans="1:17" s="467" customFormat="1">
      <c r="A27" s="465" t="s">
        <v>574</v>
      </c>
      <c r="B27" s="775">
        <f t="shared" ca="1" si="2"/>
        <v>0.10675061238178045</v>
      </c>
      <c r="C27" s="466">
        <f t="shared" ca="1" si="3"/>
        <v>0</v>
      </c>
      <c r="D27" s="466">
        <f t="shared" si="4"/>
        <v>0.19133597221918738</v>
      </c>
      <c r="E27" s="466">
        <f t="shared" si="5"/>
        <v>6.4783917310155346</v>
      </c>
      <c r="F27" s="466">
        <f t="shared" si="6"/>
        <v>0</v>
      </c>
      <c r="G27" s="466">
        <f t="shared" si="7"/>
        <v>1478.2344563521769</v>
      </c>
      <c r="H27" s="466">
        <f t="shared" si="8"/>
        <v>350.33602770283539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1835.3469623706287</v>
      </c>
    </row>
    <row r="28" spans="1:17">
      <c r="A28" s="461" t="s">
        <v>564</v>
      </c>
      <c r="B28" s="462">
        <f t="shared" ca="1" si="2"/>
        <v>0</v>
      </c>
      <c r="C28" s="462">
        <f t="shared" ca="1" si="3"/>
        <v>0</v>
      </c>
      <c r="D28" s="462">
        <f t="shared" si="4"/>
        <v>0</v>
      </c>
      <c r="E28" s="462">
        <f t="shared" si="5"/>
        <v>0</v>
      </c>
      <c r="F28" s="462">
        <f t="shared" si="6"/>
        <v>0</v>
      </c>
      <c r="G28" s="462">
        <f t="shared" si="7"/>
        <v>35.571979378065585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35.571979378065585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21.587848687116736</v>
      </c>
      <c r="C32" s="462">
        <f t="shared" ca="1" si="3"/>
        <v>0</v>
      </c>
      <c r="D32" s="462">
        <f t="shared" si="4"/>
        <v>22.871460506544597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44.459309193661333</v>
      </c>
    </row>
    <row r="33" spans="1:17" s="474" customFormat="1">
      <c r="A33" s="471" t="s">
        <v>568</v>
      </c>
      <c r="B33" s="472">
        <f ca="1">SUM(B22:B32)</f>
        <v>1245.9458641233048</v>
      </c>
      <c r="C33" s="472">
        <f t="shared" ref="C33:Q33" ca="1" si="18">SUM(C22:C32)</f>
        <v>0</v>
      </c>
      <c r="D33" s="472">
        <f t="shared" ca="1" si="18"/>
        <v>549.53250760104447</v>
      </c>
      <c r="E33" s="472">
        <f t="shared" si="18"/>
        <v>682.72438898213807</v>
      </c>
      <c r="F33" s="472">
        <f t="shared" ca="1" si="18"/>
        <v>3335.0233250146075</v>
      </c>
      <c r="G33" s="472">
        <f t="shared" si="18"/>
        <v>1513.8064357302426</v>
      </c>
      <c r="H33" s="472">
        <f t="shared" si="18"/>
        <v>350.33602770283539</v>
      </c>
      <c r="I33" s="472">
        <f t="shared" si="18"/>
        <v>0</v>
      </c>
      <c r="J33" s="472">
        <f t="shared" si="18"/>
        <v>405.29414856074521</v>
      </c>
      <c r="K33" s="472">
        <f t="shared" si="18"/>
        <v>0</v>
      </c>
      <c r="L33" s="472">
        <f t="shared" ca="1" si="18"/>
        <v>0</v>
      </c>
      <c r="M33" s="472">
        <f t="shared" si="18"/>
        <v>0</v>
      </c>
      <c r="N33" s="472">
        <f t="shared" ca="1" si="18"/>
        <v>0</v>
      </c>
      <c r="O33" s="472">
        <f t="shared" si="18"/>
        <v>0</v>
      </c>
      <c r="P33" s="472">
        <f t="shared" si="18"/>
        <v>0</v>
      </c>
      <c r="Q33" s="472">
        <f t="shared" ca="1" si="18"/>
        <v>8082.662697714919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404.65595000000002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404.65595000000002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0.20619980995323592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0.20619980995323592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2019-08-12T08:01:33Z</dcterms:modified>
</cp:coreProperties>
</file>