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<sst xmlns="http://schemas.openxmlformats.org/spreadsheetml/2006/main" count="2432" uniqueCount="913">
  <si>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</si>
  <si>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</si>
  <si>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</si>
  <si>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</si>
  <si>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</si>
  <si>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</si>
  <si>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</si>
  <si>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</si>
  <si>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</si>
  <si>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</si>
  <si>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</si>
  <si>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</si>
  <si>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</si>
  <si>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</si>
  <si>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</si>
  <si>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</si>
  <si>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</si>
  <si>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</si>
  <si>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</si>
  <si>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</si>
  <si>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</si>
  <si>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</si>
  <si>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</si>
  <si>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</si>
  <si>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</si>
  <si>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</si>
  <si>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</si>
  <si>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</si>
  <si>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</si>
  <si>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</si>
  <si>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</si>
  <si>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</si>
  <si>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</si>
  <si>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</si>
  <si>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</si>
  <si>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</si>
  <si>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</si>
  <si>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</si>
  <si>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</si>
  <si>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</si>
  <si>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</si>
  <si>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</si>
  <si>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</si>
  <si>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</si>
  <si>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</si>
  <si>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</si>
  <si>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</si>
  <si>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</si>
  <si>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</si>
  <si>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</si>
  <si>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</si>
  <si>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</si>
  <si>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</si>
  <si>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</si>
  <si>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</si>
  <si>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</si>
  <si>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</si>
  <si>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</si>
  <si>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</si>
  <si>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</si>
  <si>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</si>
  <si>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</si>
  <si>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</si>
  <si>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</si>
  <si>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</si>
  <si>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</si>
  <si>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</si>
  <si>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</si>
  <si>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</si>
  <si>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</si>
  <si>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</si>
  <si>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</si>
  <si>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</si>
  <si>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</si>
  <si>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</si>
  <si>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</si>
  <si>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</si>
  <si>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</si>
  <si>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</si>
  <si>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</si>
  <si>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</si>
  <si>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</si>
  <si>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</si>
  <si>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</si>
  <si>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</si>
  <si>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</si>
  <si>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</si>
  <si>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</si>
  <si>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</si>
  <si>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</si>
  <si>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</si>
  <si>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</si>
  <si>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</si>
  <si>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</si>
  <si>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</si>
  <si>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</si>
  <si>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</si>
  <si>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</si>
  <si>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</si>
  <si>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</si>
  <si>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</si>
  <si>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</si>
  <si>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</si>
  <si>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</si>
  <si>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</si>
  <si>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</si>
  <si>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</si>
  <si>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</si>
  <si>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</si>
  <si>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</si>
  <si>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</si>
  <si>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</si>
  <si>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</si>
  <si>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</si>
  <si>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</si>
  <si>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</si>
  <si>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</si>
  <si>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</si>
  <si>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</si>
  <si>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</si>
  <si>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</si>
  <si>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</si>
  <si>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</si>
  <si>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</si>
  <si>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</si>
  <si>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</si>
  <si>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</si>
  <si>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</si>
  <si>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</si>
  <si>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</si>
  <si>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</si>
  <si>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</si>
  <si>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</si>
  <si>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</si>
  <si>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</si>
  <si>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</si>
  <si>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</si>
  <si>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</si>
  <si>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</si>
  <si>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</si>
  <si>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</si>
  <si>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</si>
  <si>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</si>
  <si>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</si>
  <si>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</si>
  <si>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</si>
  <si>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</si>
  <si>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</si>
  <si>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</si>
  <si>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</si>
  <si>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</si>
  <si>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</si>
  <si>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</si>
  <si>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</si>
  <si>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</si>
  <si>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</si>
  <si>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</si>
  <si>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</si>
  <si>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</si>
  <si>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</si>
  <si>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</si>
  <si>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</si>
  <si>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</si>
  <si>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</si>
  <si>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</si>
  <si>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</si>
  <si>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</si>
  <si>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</si>
  <si>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</si>
  <si>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</si>
  <si>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</si>
  <si>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</si>
  <si>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</si>
  <si>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</si>
  <si>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</si>
  <si>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</si>
  <si>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</si>
  <si>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</si>
  <si>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</si>
  <si>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</si>
  <si>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</si>
  <si>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</si>
  <si>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</si>
  <si>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</si>
  <si>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</si>
  <si>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</si>
  <si>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</si>
  <si>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</si>
  <si>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</si>
  <si>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</si>
  <si>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</si>
  <si>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</si>
  <si>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</si>
  <si>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</si>
  <si>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</si>
  <si>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</si>
  <si>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</si>
  <si>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</si>
  <si>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</si>
  <si>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</si>
  <si>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</si>
  <si>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</si>
  <si>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</si>
  <si>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</si>
  <si>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</si>
  <si>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</si>
  <si>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</si>
  <si>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</si>
  <si>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</si>
  <si>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</si>
  <si>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</si>
  <si>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</si>
  <si>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</si>
  <si>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</si>
  <si>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</si>
  <si>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</si>
  <si>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</si>
  <si>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</si>
  <si>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</si>
  <si>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</si>
  <si>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</si>
  <si>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</si>
  <si>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</si>
  <si>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</si>
  <si>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</si>
  <si>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</si>
  <si>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</si>
  <si>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</si>
  <si>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</si>
  <si>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</si>
  <si>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</si>
  <si>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</si>
  <si>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</si>
  <si>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</si>
  <si>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</si>
  <si>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</si>
  <si>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</si>
  <si>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</si>
  <si>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</si>
  <si>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</si>
  <si>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</si>
  <si>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</si>
  <si>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</si>
  <si>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</si>
  <si>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</si>
  <si>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</si>
  <si>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</si>
  <si>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</si>
  <si>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</si>
  <si>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</si>
  <si>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</si>
  <si>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</si>
  <si>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</si>
  <si>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</si>
  <si>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</si>
  <si>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</si>
  <si>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</si>
  <si>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</si>
  <si>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</si>
  <si>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</si>
  <si>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</si>
  <si>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</si>
  <si>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</si>
  <si>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</si>
  <si>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</si>
  <si>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</si>
  <si>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</si>
  <si>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</si>
  <si>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</si>
  <si>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</si>
  <si>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</si>
  <si>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</si>
  <si>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</si>
  <si>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</si>
  <si>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</si>
  <si>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</si>
  <si>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</si>
  <si>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</si>
  <si>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</si>
  <si>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</si>
  <si>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</si>
  <si>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</si>
  <si>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</si>
  <si>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</si>
  <si>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</si>
  <si>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</si>
  <si>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</si>
  <si>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</si>
  <si>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</si>
  <si>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</si>
  <si>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</si>
  <si>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</si>
  <si>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</si>
  <si>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</si>
  <si>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</si>
  <si>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</si>
  <si>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</si>
  <si>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</si>
  <si>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</si>
  <si>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</si>
  <si>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</si>
  <si>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</si>
  <si>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</si>
  <si>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</si>
  <si>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</si>
  <si>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</si>
  <si>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</si>
  <si>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</si>
  <si>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</si>
  <si>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</si>
  <si>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</si>
  <si>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</si>
  <si>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</si>
  <si>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</si>
  <si>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</si>
  <si>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</si>
  <si>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</si>
  <si>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</si>
  <si>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</si>
  <si>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</si>
  <si>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</si>
  <si>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</si>
  <si>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</si>
  <si>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</si>
  <si>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</si>
  <si>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</si>
  <si>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</si>
  <si>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</si>
  <si>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</si>
  <si>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</si>
  <si>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</si>
  <si>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</si>
  <si>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</si>
  <si>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</si>
  <si>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</si>
  <si>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</si>
  <si>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</si>
  <si>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</si>
  <si>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</si>
  <si>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</si>
  <si>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</si>
  <si>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</si>
  <si>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</si>
  <si>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</si>
  <si>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</si>
  <si>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</si>
  <si>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</si>
  <si>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</si>
  <si>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</si>
  <si>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</si>
  <si>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</si>
  <si>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</si>
  <si>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</si>
  <si>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</si>
  <si>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</si>
  <si>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</si>
  <si>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</si>
  <si>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</si>
  <si>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</si>
  <si>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</si>
  <si>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</si>
  <si>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</si>
  <si>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</si>
  <si>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</si>
  <si>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</si>
  <si>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</si>
  <si>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</si>
  <si>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</si>
  <si>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</si>
  <si>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</si>
  <si>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</si>
  <si>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</si>
  <si>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</si>
  <si>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</si>
  <si>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</si>
  <si>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</si>
  <si>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</si>
  <si>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</si>
  <si>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</si>
  <si>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</si>
  <si>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</si>
  <si>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</si>
  <si>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</si>
  <si>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</si>
  <si>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</si>
  <si>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</si>
  <si>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</si>
  <si>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</si>
  <si>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</si>
  <si>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</si>
  <si>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</si>
  <si>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</si>
  <si>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</si>
  <si>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</si>
  <si>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</si>
  <si>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</si>
  <si>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</si>
  <si>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</si>
  <si>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</si>
  <si>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</si>
  <si>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</si>
  <si>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</si>
  <si>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</si>
  <si>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</si>
  <si>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</si>
  <si>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</si>
  <si>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</si>
  <si>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</si>
  <si>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</si>
  <si>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</si>
  <si>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</si>
  <si>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</si>
  <si>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</si>
  <si>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</si>
  <si>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</si>
  <si>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</si>
  <si>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</si>
  <si>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</si>
  <si>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</si>
  <si>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</si>
  <si>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</si>
  <si>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</si>
  <si>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</si>
  <si>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</si>
  <si>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</si>
  <si>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</si>
  <si>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</si>
  <si>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</si>
  <si>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</si>
  <si>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</si>
  <si>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</si>
  <si>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</si>
  <si>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</si>
  <si>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</si>
  <si>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</si>
  <si>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</si>
  <si>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</si>
  <si>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</si>
  <si>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</si>
  <si>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</si>
  <si>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</si>
  <si>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</si>
  <si>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</si>
  <si>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</si>
  <si>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</si>
  <si>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</si>
  <si>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</si>
  <si>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</si>
  <si>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</si>
  <si>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</si>
  <si>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</si>
  <si>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</si>
  <si>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</si>
  <si>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</si>
  <si>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</si>
  <si>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</si>
  <si>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</si>
  <si>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</si>
  <si>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</si>
  <si>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</si>
  <si>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</si>
  <si>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</si>
  <si>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</si>
  <si>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</si>
  <si>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</si>
  <si>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</si>
  <si>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</si>
  <si>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</si>
  <si>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</si>
  <si>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</si>
  <si>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</si>
  <si>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</si>
  <si>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</si>
  <si>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</si>
  <si>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</si>
  <si>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</si>
  <si>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</si>
  <si>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</si>
  <si>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</si>
  <si>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</si>
  <si>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</si>
  <si>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</si>
  <si>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</si>
  <si>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</si>
  <si>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</si>
  <si>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</si>
  <si>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</si>
  <si>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</si>
  <si>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</si>
  <si>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</si>
  <si>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</si>
  <si>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</si>
  <si>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</si>
  <si>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</si>
  <si>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</si>
  <si>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</si>
  <si>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</si>
  <si>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</si>
  <si>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</si>
  <si>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</si>
  <si>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</si>
  <si>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</si>
  <si>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</si>
  <si>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</si>
  <si>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</si>
  <si>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</si>
  <si>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</si>
  <si>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</si>
  <si>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</si>
  <si>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</si>
  <si>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</si>
  <si>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</si>
  <si>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</si>
  <si>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</si>
  <si>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</si>
  <si>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</si>
  <si>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</si>
  <si>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</si>
  <si>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</si>
  <si>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</si>
  <si>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</si>
  <si>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</si>
  <si>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</si>
  <si>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</si>
  <si>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</si>
  <si>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</si>
  <si>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</si>
  <si>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</si>
  <si>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</si>
  <si>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</si>
  <si>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</si>
  <si>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</si>
  <si>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</si>
  <si>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</si>
  <si>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</si>
  <si>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</si>
  <si>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</si>
  <si>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</si>
  <si>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</si>
  <si>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</si>
  <si>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</si>
  <si>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</si>
  <si>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</si>
  <si>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</si>
  <si>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</si>
  <si>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</si>
  <si>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</si>
  <si>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</si>
  <si>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</si>
  <si>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</si>
  <si>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</si>
  <si>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</si>
  <si>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</si>
  <si>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</si>
  <si>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</si>
  <si>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</si>
  <si>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</si>
  <si>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</si>
  <si>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</si>
  <si>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</si>
  <si>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</si>
  <si>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</si>
  <si>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</si>
  <si>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</si>
  <si>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</si>
  <si>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</si>
  <si>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</si>
  <si>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</si>
  <si>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</si>
  <si>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</si>
  <si>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</si>
  <si>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</si>
  <si>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</si>
  <si>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</si>
  <si>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</si>
  <si>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</si>
  <si>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</si>
  <si>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</si>
  <si>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</si>
  <si>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</si>
  <si>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</si>
  <si>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</si>
  <si>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</si>
  <si>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</si>
  <si>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</si>
  <si>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</si>
  <si>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</si>
  <si>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</si>
  <si>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</si>
  <si>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</si>
  <si>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</si>
  <si>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</si>
  <si>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</si>
  <si>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</si>
  <si>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</si>
  <si>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</si>
  <si>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</si>
  <si>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</si>
  <si>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</si>
  <si>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</si>
  <si>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</si>
  <si>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</si>
  <si>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</si>
  <si>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</si>
  <si>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</si>
  <si>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</si>
  <si>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</si>
  <si>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</si>
  <si>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</si>
  <si>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</si>
  <si>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</si>
  <si>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</si>
  <si>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</si>
  <si>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</si>
  <si>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</si>
  <si>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</si>
  <si>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</si>
  <si>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</si>
  <si>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</si>
  <si>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</si>
  <si>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</si>
  <si>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</si>
  <si>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</si>
  <si>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</si>
  <si>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</si>
  <si>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</si>
  <si>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</si>
  <si>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</si>
  <si>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</si>
  <si>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</si>
  <si>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</si>
  <si>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</si>
  <si>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</si>
  <si>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</si>
  <si>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</si>
  <si>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</si>
  <si>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</si>
  <si>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</si>
  <si>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</si>
  <si>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</si>
  <si>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</si>
  <si>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</si>
  <si>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</si>
  <si>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</si>
  <si>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</si>
  <si>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</si>
  <si>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</si>
  <si>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</si>
  <si>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</si>
  <si>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</si>
  <si>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</si>
  <si>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</si>
  <si>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</si>
  <si>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</si>
  <si>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</si>
  <si>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</si>
  <si>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</si>
  <si>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</si>
  <si>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</si>
  <si>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</si>
  <si>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</si>
  <si>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</si>
  <si>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</si>
  <si>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</si>
  <si>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</si>
  <si>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</si>
  <si>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</si>
  <si>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</si>
  <si>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</si>
  <si>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</si>
  <si>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</si>
  <si>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</si>
  <si>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</si>
  <si>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</si>
  <si>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</si>
  <si>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</si>
  <si>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</si>
  <si>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</si>
  <si>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</si>
  <si>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</si>
  <si>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</si>
  <si>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</si>
  <si>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</si>
  <si>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</si>
  <si>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</si>
  <si>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</si>
  <si>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</si>
  <si>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</si>
  <si>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</si>
  <si>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</si>
  <si>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</si>
  <si>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</si>
  <si>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</si>
  <si>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</si>
  <si>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</si>
  <si>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</si>
  <si>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</si>
  <si>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</si>
  <si>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</si>
  <si>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</si>
  <si>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</si>
  <si>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</si>
  <si>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</si>
  <si>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</si>
  <si>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</si>
  <si>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</si>
  <si>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</si>
  <si>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</si>
  <si>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</si>
  <si>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</si>
  <si>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</si>
  <si>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</si>
  <si>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</si>
  <si>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</si>
  <si>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</si>
  <si>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</si>
  <si>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</si>
  <si>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</si>
  <si>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</si>
  <si>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</si>
  <si>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</si>
  <si>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</si>
  <si>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</si>
  <si>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</si>
  <si>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</si>
  <si>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</si>
  <si>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</si>
  <si>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</si>
  <si>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</si>
  <si>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</si>
  <si>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</si>
  <si>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</si>
  <si>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</si>
  <si>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</si>
  <si>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</si>
  <si>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</si>
  <si>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</si>
  <si>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</si>
  <si>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</si>
  <si>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</si>
  <si>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</si>
  <si>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</si>
  <si>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</si>
  <si>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</si>
  <si>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</si>
  <si>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</si>
  <si>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</si>
  <si>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</si>
  <si>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</si>
  <si>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</si>
  <si>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</si>
  <si>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</si>
  <si>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</si>
  <si>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</si>
  <si>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</si>
  <si>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</si>
  <si>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</si>
  <si>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</si>
  <si>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</si>
  <si>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</si>
  <si>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</si>
  <si>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</si>
  <si>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</si>
  <si>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</si>
  <si>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</si>
  <si>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</si>
  <si>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</si>
  <si>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</si>
  <si>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</si>
  <si>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</si>
  <si>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</si>
  <si>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</si>
  <si>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</si>
  <si>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</si>
  <si>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</si>
  <si>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</si>
  <si>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</si>
  <si>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</si>
  <si>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</si>
  <si>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</si>
  <si>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</si>
  <si>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</si>
  <si>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</si>
  <si>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</si>
  <si>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</si>
  <si>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</si>
  <si>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</si>
  <si>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</si>
  <si>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</si>
  <si>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</si>
  <si>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</si>
  <si>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</si>
  <si>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</si>
  <si>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</si>
  <si>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</si>
  <si>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</si>
  <si>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</si>
  <si>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</si>
  <si>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</si>
  <si>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</si>
  <si>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</si>
  <si>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</si>
  <si>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</si>
  <si>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</si>
  <si>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</si>
  <si>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</si>
  <si>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</si>
  <si>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</si>
  <si>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</si>
  <si>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</si>
  <si>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</si>
  <si>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</si>
  <si>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</si>
  <si>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</si>
  <si>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</si>
  <si>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</si>
  <si>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</si>
  <si>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</si>
  <si>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</si>
  <si>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</si>
  <si>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</si>
  <si>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</si>
  <si>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</si>
  <si>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</si>
  <si>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</si>
  <si>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</si>
  <si>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</si>
  <si>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</si>
  <si>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</si>
  <si>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</si>
  <si>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</si>
  <si>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</si>
  <si>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</si>
  <si>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</si>
  <si>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</si>
  <si>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</si>
  <si>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</si>
  <si>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</si>
  <si>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</si>
  <si>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</si>
  <si>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</si>
  <si>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</si>
  <si>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</si>
  <si>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</si>
  <si>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</si>
  <si>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</si>
  <si>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</si>
  <si>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</si>
  <si>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</si>
  <si>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</si>
  <si>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</si>
  <si>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</si>
  <si>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</si>
  <si>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</si>
  <si>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</si>
  <si>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</si>
  <si>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</si>
  <si>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</si>
  <si>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</si>
  <si>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</si>
  <si>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</si>
  <si>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</si>
  <si>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</si>
  <si>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</si>
  <si>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</si>
  <si>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</si>
  <si>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</si>
  <si>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</si>
  <si>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</si>
  <si>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</si>
  <si>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</si>
  <si>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</si>
  <si>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</si>
  <si>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</si>
  <si>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</si>
  <si>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</si>
  <si>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</si>
  <si>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</si>
  <si>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</si>
  <si>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</si>
  <si>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</si>
  <si>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</si>
  <si>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</si>
  <si>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</si>
  <si>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</si>
  <si>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</si>
  <si>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</si>
  <si>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</si>
  <si>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</si>
  <si>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</si>
  <si>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</si>
  <si>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</si>
  <si>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</si>
  <si>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</si>
  <si>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</si>
  <si>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</si>
  <si>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</si>
  <si>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</si>
  <si>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</si>
  <si>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</si>
  <si>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</si>
  <si>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</si>
  <si>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</si>
  <si>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</si>
  <si>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</si>
  <si>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</si>
  <si>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13053</t>
  </si>
  <si>
    <t>LAAKDAL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</si>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</sst>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161280.03152264908</c:v>
                </c:pt>
                <c:pt idx="1">
                  <c:v>35556.512612336366</c:v>
                </c:pt>
                <c:pt idx="2">
                  <c:v>888.88300000000004</c:v>
                </c:pt>
                <c:pt idx="3">
                  <c:v>9020.0290319151973</c:v>
                </c:pt>
                <c:pt idx="4">
                  <c:v>6078.9919925307559</c:v>
                </c:pt>
                <c:pt idx="5">
                  <c:v>188892.43628053769</c:v>
                </c:pt>
                <c:pt idx="6">
                  <c:v>745.68060769415263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53696"/>
        <c:axId val="182655232"/>
      </c:barChart>
      <c:catAx>
        <c:axId val="182653696"/>
        <c:scaling>
          <c:orientation val="minMax"/>
        </c:scaling>
        <c:axPos val="b"/>
        <c:numFmt formatCode="General" sourceLinked="0"/>
        <c:tickLblPos val="nextTo"/>
        <c:crossAx val="182655232"/>
        <c:crosses val="autoZero"/>
        <c:auto val="1"/>
        <c:lblAlgn val="ctr"/>
        <c:lblOffset val="100"/>
      </c:catAx>
      <c:valAx>
        <c:axId val="182655232"/>
        <c:scaling>
          <c:orientation val="minMax"/>
        </c:scaling>
        <c:axPos val="l"/>
        <c:majorGridlines/>
        <c:numFmt formatCode="#,##0" sourceLinked="1"/>
        <c:tickLblPos val="nextTo"/>
        <c:crossAx val="182653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161280.03152264908</c:v>
                </c:pt>
                <c:pt idx="1">
                  <c:v>35556.512612336366</c:v>
                </c:pt>
                <c:pt idx="2">
                  <c:v>888.88300000000004</c:v>
                </c:pt>
                <c:pt idx="3">
                  <c:v>9020.0290319151973</c:v>
                </c:pt>
                <c:pt idx="4">
                  <c:v>6078.9919925307559</c:v>
                </c:pt>
                <c:pt idx="5">
                  <c:v>188892.43628053769</c:v>
                </c:pt>
                <c:pt idx="6">
                  <c:v>745.68060769415263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31576.777493055379</c:v>
                </c:pt>
                <c:pt idx="2">
                  <c:v>6774.1275074420591</c:v>
                </c:pt>
                <c:pt idx="3">
                  <c:v>167.0566039738234</c:v>
                </c:pt>
                <c:pt idx="4">
                  <c:v>2045.5490552435074</c:v>
                </c:pt>
                <c:pt idx="5">
                  <c:v>1160.3916087434945</c:v>
                </c:pt>
                <c:pt idx="6">
                  <c:v>47810.648444300088</c:v>
                </c:pt>
                <c:pt idx="7">
                  <c:v>190.61941081620324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5168"/>
        <c:axId val="182781056"/>
      </c:barChart>
      <c:catAx>
        <c:axId val="182775168"/>
        <c:scaling>
          <c:orientation val="minMax"/>
        </c:scaling>
        <c:axPos val="b"/>
        <c:numFmt formatCode="General" sourceLinked="0"/>
        <c:tickLblPos val="nextTo"/>
        <c:crossAx val="182781056"/>
        <c:crosses val="autoZero"/>
        <c:auto val="1"/>
        <c:lblAlgn val="ctr"/>
        <c:lblOffset val="100"/>
      </c:catAx>
      <c:valAx>
        <c:axId val="182781056"/>
        <c:scaling>
          <c:orientation val="minMax"/>
        </c:scaling>
        <c:axPos val="l"/>
        <c:majorGridlines/>
        <c:numFmt formatCode="#,##0" sourceLinked="1"/>
        <c:tickLblPos val="nextTo"/>
        <c:crossAx val="1827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31576.777493055379</c:v>
                </c:pt>
                <c:pt idx="2">
                  <c:v>6774.1275074420591</c:v>
                </c:pt>
                <c:pt idx="3">
                  <c:v>167.0566039738234</c:v>
                </c:pt>
                <c:pt idx="4">
                  <c:v>2045.5490552435074</c:v>
                </c:pt>
                <c:pt idx="5">
                  <c:v>1160.3916087434945</c:v>
                </c:pt>
                <c:pt idx="6">
                  <c:v>47810.648444300088</c:v>
                </c:pt>
                <c:pt idx="7">
                  <c:v>190.61941081620324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13053</v>
      </c>
      <c r="B6" s="398"/>
      <c r="C6" s="399"/>
    </row>
    <row r="7" spans="1:7" s="396" customFormat="1" ht="15.75" customHeight="1">
      <c r="A7" s="400" t="str">
        <f>txtMunicipality</f>
        <v>LAAKDAL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0.1879399245725516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0.1879399245725516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13053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6483</v>
      </c>
      <c r="C9" s="338">
        <v>6719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1516</v>
      </c>
    </row>
    <row r="15" spans="1:6">
      <c r="A15" s="1295" t="s">
        <v>184</v>
      </c>
      <c r="B15" s="335">
        <v>559</v>
      </c>
    </row>
    <row r="16" spans="1:6">
      <c r="A16" s="1295" t="s">
        <v>6</v>
      </c>
      <c r="B16" s="335">
        <v>513</v>
      </c>
    </row>
    <row r="17" spans="1:6">
      <c r="A17" s="1295" t="s">
        <v>7</v>
      </c>
      <c r="B17" s="335">
        <v>118</v>
      </c>
    </row>
    <row r="18" spans="1:6">
      <c r="A18" s="1295" t="s">
        <v>8</v>
      </c>
      <c r="B18" s="335">
        <v>379</v>
      </c>
    </row>
    <row r="19" spans="1:6">
      <c r="A19" s="1295" t="s">
        <v>9</v>
      </c>
      <c r="B19" s="335">
        <v>317</v>
      </c>
    </row>
    <row r="20" spans="1:6">
      <c r="A20" s="1295" t="s">
        <v>10</v>
      </c>
      <c r="B20" s="335">
        <v>233</v>
      </c>
    </row>
    <row r="21" spans="1:6">
      <c r="A21" s="1295" t="s">
        <v>11</v>
      </c>
      <c r="B21" s="335">
        <v>2367</v>
      </c>
    </row>
    <row r="22" spans="1:6">
      <c r="A22" s="1295" t="s">
        <v>12</v>
      </c>
      <c r="B22" s="335">
        <v>4474</v>
      </c>
    </row>
    <row r="23" spans="1:6">
      <c r="A23" s="1295" t="s">
        <v>13</v>
      </c>
      <c r="B23" s="335">
        <v>88</v>
      </c>
    </row>
    <row r="24" spans="1:6">
      <c r="A24" s="1295" t="s">
        <v>14</v>
      </c>
      <c r="B24" s="335">
        <v>7</v>
      </c>
    </row>
    <row r="25" spans="1:6">
      <c r="A25" s="1295" t="s">
        <v>15</v>
      </c>
      <c r="B25" s="335">
        <v>738</v>
      </c>
    </row>
    <row r="26" spans="1:6">
      <c r="A26" s="1295" t="s">
        <v>16</v>
      </c>
      <c r="B26" s="335">
        <v>164</v>
      </c>
    </row>
    <row r="27" spans="1:6">
      <c r="A27" s="1295" t="s">
        <v>17</v>
      </c>
      <c r="B27" s="335">
        <v>0</v>
      </c>
    </row>
    <row r="28" spans="1:6" s="341" customFormat="1">
      <c r="A28" s="1296" t="s">
        <v>18</v>
      </c>
      <c r="B28" s="1296">
        <v>50063</v>
      </c>
    </row>
    <row r="29" spans="1:6">
      <c r="A29" s="1296" t="s">
        <v>909</v>
      </c>
      <c r="B29" s="1296">
        <v>208</v>
      </c>
      <c r="C29" s="341"/>
      <c r="D29" s="341"/>
      <c r="E29" s="341"/>
      <c r="F29" s="341"/>
    </row>
    <row r="30" spans="1:6">
      <c r="A30" s="1291" t="s">
        <v>910</v>
      </c>
      <c r="B30" s="1291">
        <v>46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127296</v>
      </c>
      <c r="E38" s="335">
        <v>1</v>
      </c>
      <c r="F38" s="335">
        <v>10522</v>
      </c>
    </row>
    <row r="39" spans="1:6">
      <c r="A39" s="1295" t="s">
        <v>30</v>
      </c>
      <c r="B39" s="1295" t="s">
        <v>31</v>
      </c>
      <c r="C39" s="335">
        <v>2996</v>
      </c>
      <c r="D39" s="335">
        <v>53959540</v>
      </c>
      <c r="E39" s="335">
        <v>6497</v>
      </c>
      <c r="F39" s="335">
        <v>23096680</v>
      </c>
    </row>
    <row r="40" spans="1:6">
      <c r="A40" s="1295" t="s">
        <v>30</v>
      </c>
      <c r="B40" s="1295" t="s">
        <v>29</v>
      </c>
      <c r="C40" s="335">
        <v>0</v>
      </c>
      <c r="D40" s="335">
        <v>0</v>
      </c>
      <c r="E40" s="335">
        <v>0</v>
      </c>
      <c r="F40" s="335">
        <v>0</v>
      </c>
    </row>
    <row r="41" spans="1:6">
      <c r="A41" s="1295" t="s">
        <v>32</v>
      </c>
      <c r="B41" s="1295" t="s">
        <v>33</v>
      </c>
      <c r="C41" s="335">
        <v>37</v>
      </c>
      <c r="D41" s="335">
        <v>1157830</v>
      </c>
      <c r="E41" s="335">
        <v>108</v>
      </c>
      <c r="F41" s="335">
        <v>992781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15</v>
      </c>
      <c r="F44" s="335">
        <v>158073</v>
      </c>
    </row>
    <row r="45" spans="1:6">
      <c r="A45" s="1295" t="s">
        <v>32</v>
      </c>
      <c r="B45" s="1295" t="s">
        <v>37</v>
      </c>
      <c r="C45" s="335">
        <v>3</v>
      </c>
      <c r="D45" s="335">
        <v>36882</v>
      </c>
      <c r="E45" s="335">
        <v>5</v>
      </c>
      <c r="F45" s="335">
        <v>203879</v>
      </c>
    </row>
    <row r="46" spans="1:6">
      <c r="A46" s="1295" t="s">
        <v>32</v>
      </c>
      <c r="B46" s="1295" t="s">
        <v>38</v>
      </c>
      <c r="C46" s="335">
        <v>0</v>
      </c>
      <c r="D46" s="335">
        <v>0</v>
      </c>
      <c r="E46" s="335">
        <v>0</v>
      </c>
      <c r="F46" s="335">
        <v>0</v>
      </c>
    </row>
    <row r="47" spans="1:6">
      <c r="A47" s="1295" t="s">
        <v>32</v>
      </c>
      <c r="B47" s="1295" t="s">
        <v>39</v>
      </c>
      <c r="C47" s="335">
        <v>0</v>
      </c>
      <c r="D47" s="335">
        <v>0</v>
      </c>
      <c r="E47" s="335">
        <v>4</v>
      </c>
      <c r="F47" s="335">
        <v>117689</v>
      </c>
    </row>
    <row r="48" spans="1:6">
      <c r="A48" s="1295" t="s">
        <v>32</v>
      </c>
      <c r="B48" s="1295" t="s">
        <v>29</v>
      </c>
      <c r="C48" s="335">
        <v>2</v>
      </c>
      <c r="D48" s="335">
        <v>37760</v>
      </c>
      <c r="E48" s="335">
        <v>4</v>
      </c>
      <c r="F48" s="335">
        <v>51482</v>
      </c>
    </row>
    <row r="49" spans="1:6">
      <c r="A49" s="1295" t="s">
        <v>32</v>
      </c>
      <c r="B49" s="1295" t="s">
        <v>40</v>
      </c>
      <c r="C49" s="335">
        <v>0</v>
      </c>
      <c r="D49" s="335">
        <v>0</v>
      </c>
      <c r="E49" s="335">
        <v>0</v>
      </c>
      <c r="F49" s="335">
        <v>0</v>
      </c>
    </row>
    <row r="50" spans="1:6">
      <c r="A50" s="1295" t="s">
        <v>32</v>
      </c>
      <c r="B50" s="1295" t="s">
        <v>41</v>
      </c>
      <c r="C50" s="335">
        <v>5</v>
      </c>
      <c r="D50" s="335">
        <v>236091</v>
      </c>
      <c r="E50" s="335">
        <v>14</v>
      </c>
      <c r="F50" s="335">
        <v>544423</v>
      </c>
    </row>
    <row r="51" spans="1:6">
      <c r="A51" s="1295" t="s">
        <v>42</v>
      </c>
      <c r="B51" s="1295" t="s">
        <v>43</v>
      </c>
      <c r="C51" s="335">
        <v>4</v>
      </c>
      <c r="D51" s="335">
        <v>5102029</v>
      </c>
      <c r="E51" s="335">
        <v>42</v>
      </c>
      <c r="F51" s="335">
        <v>957678</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100</v>
      </c>
      <c r="F54" s="335">
        <v>888883</v>
      </c>
    </row>
    <row r="55" spans="1:6">
      <c r="A55" s="1295" t="s">
        <v>46</v>
      </c>
      <c r="B55" s="1295" t="s">
        <v>29</v>
      </c>
      <c r="C55" s="335">
        <v>0</v>
      </c>
      <c r="D55" s="335">
        <v>0</v>
      </c>
      <c r="E55" s="335">
        <v>0</v>
      </c>
      <c r="F55" s="335">
        <v>0</v>
      </c>
    </row>
    <row r="56" spans="1:6">
      <c r="A56" s="1295" t="s">
        <v>48</v>
      </c>
      <c r="B56" s="1295" t="s">
        <v>29</v>
      </c>
      <c r="C56" s="335">
        <v>51</v>
      </c>
      <c r="D56" s="335">
        <v>1571845</v>
      </c>
      <c r="E56" s="335">
        <v>126</v>
      </c>
      <c r="F56" s="335">
        <v>602030</v>
      </c>
    </row>
    <row r="57" spans="1:6">
      <c r="A57" s="1295" t="s">
        <v>49</v>
      </c>
      <c r="B57" s="1295" t="s">
        <v>50</v>
      </c>
      <c r="C57" s="335">
        <v>27</v>
      </c>
      <c r="D57" s="335">
        <v>4008696</v>
      </c>
      <c r="E57" s="335">
        <v>78</v>
      </c>
      <c r="F57" s="335">
        <v>2781063</v>
      </c>
    </row>
    <row r="58" spans="1:6">
      <c r="A58" s="1295" t="s">
        <v>49</v>
      </c>
      <c r="B58" s="1295" t="s">
        <v>51</v>
      </c>
      <c r="C58" s="335">
        <v>8</v>
      </c>
      <c r="D58" s="335">
        <v>371067</v>
      </c>
      <c r="E58" s="335">
        <v>16</v>
      </c>
      <c r="F58" s="335">
        <v>133621</v>
      </c>
    </row>
    <row r="59" spans="1:6">
      <c r="A59" s="1295" t="s">
        <v>49</v>
      </c>
      <c r="B59" s="1295" t="s">
        <v>52</v>
      </c>
      <c r="C59" s="335">
        <v>46</v>
      </c>
      <c r="D59" s="335">
        <v>2098598</v>
      </c>
      <c r="E59" s="335">
        <v>143</v>
      </c>
      <c r="F59" s="335">
        <v>7946347</v>
      </c>
    </row>
    <row r="60" spans="1:6">
      <c r="A60" s="1295" t="s">
        <v>49</v>
      </c>
      <c r="B60" s="1295" t="s">
        <v>53</v>
      </c>
      <c r="C60" s="335">
        <v>30</v>
      </c>
      <c r="D60" s="335">
        <v>1782135</v>
      </c>
      <c r="E60" s="335">
        <v>61</v>
      </c>
      <c r="F60" s="335">
        <v>1952823</v>
      </c>
    </row>
    <row r="61" spans="1:6">
      <c r="A61" s="1295" t="s">
        <v>49</v>
      </c>
      <c r="B61" s="1295" t="s">
        <v>54</v>
      </c>
      <c r="C61" s="335">
        <v>55</v>
      </c>
      <c r="D61" s="335">
        <v>5171285</v>
      </c>
      <c r="E61" s="335">
        <v>198</v>
      </c>
      <c r="F61" s="335">
        <v>4092976</v>
      </c>
    </row>
    <row r="62" spans="1:6">
      <c r="A62" s="1295" t="s">
        <v>49</v>
      </c>
      <c r="B62" s="1295" t="s">
        <v>55</v>
      </c>
      <c r="C62" s="335">
        <v>5</v>
      </c>
      <c r="D62" s="335">
        <v>595136</v>
      </c>
      <c r="E62" s="335">
        <v>10</v>
      </c>
      <c r="F62" s="335">
        <v>247800</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2</v>
      </c>
      <c r="F65" s="335">
        <v>5108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600431</v>
      </c>
      <c r="E68" s="335">
        <v>19</v>
      </c>
      <c r="F68" s="335">
        <v>679991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90819849</v>
      </c>
      <c r="E73" s="335">
        <v>94800095.218634233</v>
      </c>
    </row>
    <row r="74" spans="1:6">
      <c r="A74" s="1295" t="s">
        <v>64</v>
      </c>
      <c r="B74" s="1295" t="s">
        <v>727</v>
      </c>
      <c r="C74" s="1295" t="s">
        <v>728</v>
      </c>
      <c r="D74" s="335">
        <v>4869194.0377997812</v>
      </c>
      <c r="E74" s="335">
        <v>5229026.0827380568</v>
      </c>
    </row>
    <row r="75" spans="1:6">
      <c r="A75" s="1295" t="s">
        <v>65</v>
      </c>
      <c r="B75" s="1295" t="s">
        <v>725</v>
      </c>
      <c r="C75" s="1295" t="s">
        <v>729</v>
      </c>
      <c r="D75" s="335">
        <v>8677410</v>
      </c>
      <c r="E75" s="335">
        <v>9057716.0498760324</v>
      </c>
    </row>
    <row r="76" spans="1:6">
      <c r="A76" s="1295" t="s">
        <v>65</v>
      </c>
      <c r="B76" s="1295" t="s">
        <v>727</v>
      </c>
      <c r="C76" s="1295" t="s">
        <v>730</v>
      </c>
      <c r="D76" s="335">
        <v>522258.03779978142</v>
      </c>
      <c r="E76" s="335">
        <v>567687.83287154208</v>
      </c>
    </row>
    <row r="77" spans="1:6">
      <c r="A77" s="1295" t="s">
        <v>66</v>
      </c>
      <c r="B77" s="1295" t="s">
        <v>725</v>
      </c>
      <c r="C77" s="1295" t="s">
        <v>731</v>
      </c>
      <c r="D77" s="335">
        <v>88633569</v>
      </c>
      <c r="E77" s="335">
        <v>104725636.79649438</v>
      </c>
    </row>
    <row r="78" spans="1:6">
      <c r="A78" s="1291" t="s">
        <v>66</v>
      </c>
      <c r="B78" s="1291" t="s">
        <v>727</v>
      </c>
      <c r="C78" s="1291" t="s">
        <v>732</v>
      </c>
      <c r="D78" s="1291">
        <v>20300075</v>
      </c>
      <c r="E78" s="1291">
        <v>22676690.893445898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196999.92440043719</v>
      </c>
      <c r="C83" s="335">
        <v>194623.09999375304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4403.7939999999999</v>
      </c>
    </row>
    <row r="92" spans="1:6">
      <c r="A92" s="1291" t="s">
        <v>69</v>
      </c>
      <c r="B92" s="338">
        <v>2953.538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1228</v>
      </c>
    </row>
    <row r="98" spans="1:6">
      <c r="A98" s="1295" t="s">
        <v>72</v>
      </c>
      <c r="B98" s="335">
        <v>10</v>
      </c>
    </row>
    <row r="99" spans="1:6">
      <c r="A99" s="1295" t="s">
        <v>73</v>
      </c>
      <c r="B99" s="335">
        <v>85</v>
      </c>
    </row>
    <row r="100" spans="1:6">
      <c r="A100" s="1295" t="s">
        <v>74</v>
      </c>
      <c r="B100" s="335">
        <v>176</v>
      </c>
    </row>
    <row r="101" spans="1:6">
      <c r="A101" s="1295" t="s">
        <v>75</v>
      </c>
      <c r="B101" s="335">
        <v>75</v>
      </c>
    </row>
    <row r="102" spans="1:6">
      <c r="A102" s="1295" t="s">
        <v>76</v>
      </c>
      <c r="B102" s="335">
        <v>55</v>
      </c>
    </row>
    <row r="103" spans="1:6">
      <c r="A103" s="1295" t="s">
        <v>77</v>
      </c>
      <c r="B103" s="335">
        <v>167</v>
      </c>
    </row>
    <row r="104" spans="1:6">
      <c r="A104" s="1295" t="s">
        <v>78</v>
      </c>
      <c r="B104" s="335">
        <v>3833</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25</v>
      </c>
      <c r="C123" s="335">
        <v>16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171</v>
      </c>
    </row>
    <row r="130" spans="1:6">
      <c r="A130" s="1295" t="s">
        <v>295</v>
      </c>
      <c r="B130" s="335">
        <v>3</v>
      </c>
    </row>
    <row r="131" spans="1:6">
      <c r="A131" s="1295" t="s">
        <v>296</v>
      </c>
      <c r="B131" s="335">
        <v>1</v>
      </c>
    </row>
    <row r="132" spans="1:6">
      <c r="A132" s="1291" t="s">
        <v>297</v>
      </c>
      <c r="B132" s="338">
        <v>16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49182.29468557184</v>
      </c>
      <c r="C3" s="43" t="s">
        <v>170</v>
      </c>
      <c r="D3" s="43"/>
      <c r="E3" s="156"/>
      <c r="F3" s="43"/>
      <c r="G3" s="43"/>
      <c r="H3" s="43"/>
      <c r="I3" s="43"/>
      <c r="J3" s="43"/>
      <c r="K3" s="96"/>
    </row>
    <row r="4" spans="1:11">
      <c r="A4" s="366" t="s">
        <v>171</v>
      </c>
      <c r="B4" s="49">
        <f>IF(ISERROR('SEAP template'!B78+'SEAP template'!C78),0,'SEAP template'!B78+'SEAP template'!C78)</f>
        <v>7357.3320000000003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0.1879399245725516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888.88300000000004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888.88300000000004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0.1879399245725516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167.0566039738234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23096.68</v>
      </c>
      <c r="C5" s="17">
        <f>IF(ISERROR('Eigen informatie GS &amp; warmtenet'!B57),0,'Eigen informatie GS &amp; warmtenet'!B57)</f>
        <v>0</v>
      </c>
      <c r="D5" s="30">
        <f>(SUM(HH_hh_gas_kWh,HH_rest_gas_kWh)/1000)*0.902</f>
        <v>48671.505080000003</v>
      </c>
      <c r="E5" s="17">
        <f>B46*B57</f>
        <v>6347.871384867557</v>
      </c>
      <c r="F5" s="17">
        <f>B51*B62</f>
        <v>56688.126042176111</v>
      </c>
      <c r="G5" s="18"/>
      <c r="H5" s="17"/>
      <c r="I5" s="17"/>
      <c r="J5" s="17">
        <f>B50*B61+C50*C61</f>
        <v>0</v>
      </c>
      <c r="K5" s="17"/>
      <c r="L5" s="17"/>
      <c r="M5" s="17"/>
      <c r="N5" s="17">
        <f>B48*B59+C48*C59</f>
        <v>20997.978348938737</v>
      </c>
      <c r="O5" s="17">
        <f>B69*B70*B71</f>
        <v>292.34333333333331</v>
      </c>
      <c r="P5" s="17">
        <f>B77*B78*B79/1000-B77*B78*B79/1000/B80</f>
        <v>781.73333333333335</v>
      </c>
    </row>
    <row r="6" spans="1:16">
      <c r="A6" s="16" t="s">
        <v>634</v>
      </c>
      <c r="B6" s="783">
        <f>kWh_PV_kleiner_dan_10kW</f>
        <v>4403.7939999999999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27500.474000000002</v>
      </c>
      <c r="C8" s="21">
        <f>C5</f>
        <v>0</v>
      </c>
      <c r="D8" s="21">
        <f>D5</f>
        <v>48671.505080000003</v>
      </c>
      <c r="E8" s="21">
        <f>E5</f>
        <v>6347.871384867557</v>
      </c>
      <c r="F8" s="21">
        <f>F5</f>
        <v>56688.126042176111</v>
      </c>
      <c r="G8" s="21"/>
      <c r="H8" s="21"/>
      <c r="I8" s="21"/>
      <c r="J8" s="21">
        <f>J5</f>
        <v>0</v>
      </c>
      <c r="K8" s="21"/>
      <c r="L8" s="21">
        <f>L5</f>
        <v>0</v>
      </c>
      <c r="M8" s="21">
        <f>M5</f>
        <v>0</v>
      </c>
      <c r="N8" s="21">
        <f>N5</f>
        <v>20997.978348938737</v>
      </c>
      <c r="O8" s="21">
        <f>O5</f>
        <v>292.34333333333331</v>
      </c>
      <c r="P8" s="21">
        <f>P5</f>
        <v>781.73333333333335</v>
      </c>
    </row>
    <row r="9" spans="1:16">
      <c r="B9" s="19"/>
      <c r="C9" s="19"/>
      <c r="D9" s="261"/>
      <c r="E9" s="19"/>
      <c r="F9" s="19"/>
      <c r="G9" s="19"/>
      <c r="H9" s="19"/>
      <c r="I9" s="19"/>
      <c r="J9" s="19"/>
      <c r="K9" s="19"/>
      <c r="L9" s="19"/>
      <c r="M9" s="19"/>
      <c r="N9" s="19"/>
      <c r="O9" s="19"/>
      <c r="P9" s="19"/>
    </row>
    <row r="10" spans="1:16">
      <c r="A10" s="24" t="s">
        <v>214</v>
      </c>
      <c r="B10" s="25">
        <f ca="1">'EF ele_warmte'!B12</f>
        <v>0.1879399245725516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5168.4370092694171</v>
      </c>
      <c r="C12" s="23">
        <f ca="1">C10*C8</f>
        <v>0</v>
      </c>
      <c r="D12" s="23">
        <f>D8*D10</f>
        <v>9831.6440261600019</v>
      </c>
      <c r="E12" s="23">
        <f>E10*E8</f>
        <v>1440.9668043649356</v>
      </c>
      <c r="F12" s="23">
        <f>F10*F8</f>
        <v>15135.729653261022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1228</v>
      </c>
      <c r="C18" s="168" t="s">
        <v>111</v>
      </c>
      <c r="D18" s="230"/>
      <c r="E18" s="15"/>
    </row>
    <row r="19" spans="1:7">
      <c r="A19" s="173" t="s">
        <v>72</v>
      </c>
      <c r="B19" s="37">
        <f>aantalw2001_ander</f>
        <v>10</v>
      </c>
      <c r="C19" s="168" t="s">
        <v>111</v>
      </c>
      <c r="D19" s="231"/>
      <c r="E19" s="15"/>
    </row>
    <row r="20" spans="1:7">
      <c r="A20" s="173" t="s">
        <v>73</v>
      </c>
      <c r="B20" s="37">
        <f>aantalw2001_propaan</f>
        <v>85</v>
      </c>
      <c r="C20" s="169">
        <f>IF(ISERROR(B20/SUM($B$20,$B$21,$B$22)*100),0,B20/SUM($B$20,$B$21,$B$22)*100)</f>
        <v>25.297619047619047</v>
      </c>
      <c r="D20" s="231"/>
      <c r="E20" s="15"/>
    </row>
    <row r="21" spans="1:7">
      <c r="A21" s="173" t="s">
        <v>74</v>
      </c>
      <c r="B21" s="37">
        <f>aantalw2001_elektriciteit</f>
        <v>176</v>
      </c>
      <c r="C21" s="169">
        <f>IF(ISERROR(B21/SUM($B$20,$B$21,$B$22)*100),0,B21/SUM($B$20,$B$21,$B$22)*100)</f>
        <v>52.380952380952387</v>
      </c>
      <c r="D21" s="231"/>
      <c r="E21" s="15"/>
    </row>
    <row r="22" spans="1:7">
      <c r="A22" s="173" t="s">
        <v>75</v>
      </c>
      <c r="B22" s="37">
        <f>aantalw2001_hout</f>
        <v>75</v>
      </c>
      <c r="C22" s="169">
        <f>IF(ISERROR(B22/SUM($B$20,$B$21,$B$22)*100),0,B22/SUM($B$20,$B$21,$B$22)*100)</f>
        <v>22.321428571428573</v>
      </c>
      <c r="D22" s="231"/>
      <c r="E22" s="15"/>
    </row>
    <row r="23" spans="1:7">
      <c r="A23" s="173" t="s">
        <v>76</v>
      </c>
      <c r="B23" s="37">
        <f>aantalw2001_niet_gespec</f>
        <v>55</v>
      </c>
      <c r="C23" s="168" t="s">
        <v>111</v>
      </c>
      <c r="D23" s="230"/>
      <c r="E23" s="15"/>
    </row>
    <row r="24" spans="1:7">
      <c r="A24" s="173" t="s">
        <v>77</v>
      </c>
      <c r="B24" s="37">
        <f>aantalw2001_steenkool</f>
        <v>167</v>
      </c>
      <c r="C24" s="168" t="s">
        <v>111</v>
      </c>
      <c r="D24" s="231"/>
      <c r="E24" s="15"/>
    </row>
    <row r="25" spans="1:7">
      <c r="A25" s="173" t="s">
        <v>78</v>
      </c>
      <c r="B25" s="37">
        <f>aantalw2001_stookolie</f>
        <v>3833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6483</v>
      </c>
      <c r="C28" s="36"/>
      <c r="D28" s="230"/>
    </row>
    <row r="29" spans="1:7" s="15" customFormat="1">
      <c r="A29" s="232" t="s">
        <v>746</v>
      </c>
      <c r="B29" s="37">
        <f>SUM(HH_hh_gas_aantal,HH_rest_gas_aantal)</f>
        <v>2996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2996</v>
      </c>
      <c r="C32" s="169">
        <f>IF(ISERROR(B32/SUM($B$32,$B$34,$B$35,$B$36,$B$38,$B$39)*100),0,B32/SUM($B$32,$B$34,$B$35,$B$36,$B$38,$B$39)*100)</f>
        <v>46.507295870847564</v>
      </c>
      <c r="D32" s="235"/>
      <c r="G32" s="15"/>
    </row>
    <row r="33" spans="1:7">
      <c r="A33" s="173" t="s">
        <v>72</v>
      </c>
      <c r="B33" s="34" t="s">
        <v>111</v>
      </c>
      <c r="C33" s="169"/>
      <c r="D33" s="235"/>
      <c r="G33" s="15"/>
    </row>
    <row r="34" spans="1:7">
      <c r="A34" s="173" t="s">
        <v>73</v>
      </c>
      <c r="B34" s="33">
        <f>IF((($B$28-$B$32-$B$39-$B$77-$B$38)*C20/100)&lt;0,0,($B$28-$B$32-$B$39-$B$77-$B$38)*C20/100)</f>
        <v>304.6339285714285</v>
      </c>
      <c r="C34" s="169">
        <f>IF(ISERROR(B34/SUM($B$32,$B$34,$B$35,$B$36,$B$38,$B$39)*100),0,B34/SUM($B$32,$B$34,$B$35,$B$36,$B$38,$B$39)*100)</f>
        <v>4.7288719120060305</v>
      </c>
      <c r="D34" s="235"/>
      <c r="G34" s="15"/>
    </row>
    <row r="35" spans="1:7">
      <c r="A35" s="173" t="s">
        <v>74</v>
      </c>
      <c r="B35" s="33">
        <f>IF((($B$28-$B$32-$B$39-$B$77-$B$38)*C21/100)&lt;0,0,($B$28-$B$32-$B$39-$B$77-$B$38)*C21/100)</f>
        <v>630.7714285714286</v>
      </c>
      <c r="C35" s="169">
        <f>IF(ISERROR(B35/SUM($B$32,$B$34,$B$35,$B$36,$B$38,$B$39)*100),0,B35/SUM($B$32,$B$34,$B$35,$B$36,$B$38,$B$39)*100)</f>
        <v>9.7915465472124907</v>
      </c>
      <c r="D35" s="235"/>
      <c r="G35" s="15"/>
    </row>
    <row r="36" spans="1:7">
      <c r="A36" s="173" t="s">
        <v>75</v>
      </c>
      <c r="B36" s="33">
        <f>IF((($B$28-$B$32-$B$39-$B$77-$B$38)*C22/100)&lt;0,0,($B$28-$B$32-$B$39-$B$77-$B$38)*C22/100)</f>
        <v>268.79464285714283</v>
      </c>
      <c r="C36" s="169">
        <f>IF(ISERROR(B36/SUM($B$32,$B$34,$B$35,$B$36,$B$38,$B$39)*100),0,B36/SUM($B$32,$B$34,$B$35,$B$36,$B$38,$B$39)*100)</f>
        <v>4.1725340400053224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2241.8000000000002</v>
      </c>
      <c r="C39" s="169">
        <f>IF(ISERROR(B39/SUM($B$32,$B$34,$B$35,$B$36,$B$38,$B$39)*100),0,B39/SUM($B$32,$B$34,$B$35,$B$36,$B$38,$B$39)*100)</f>
        <v>34.7997516299286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2996</v>
      </c>
      <c r="C44" s="34" t="s">
        <v>111</v>
      </c>
      <c r="D44" s="176"/>
    </row>
    <row r="45" spans="1:7">
      <c r="A45" s="173" t="s">
        <v>72</v>
      </c>
      <c r="B45" s="33" t="str">
        <f t="shared" si="0"/>
        <v>-</v>
      </c>
      <c r="C45" s="34" t="s">
        <v>111</v>
      </c>
      <c r="D45" s="176"/>
    </row>
    <row r="46" spans="1:7">
      <c r="A46" s="173" t="s">
        <v>73</v>
      </c>
      <c r="B46" s="33">
        <f t="shared" si="0"/>
        <v>304.6339285714285</v>
      </c>
      <c r="C46" s="34" t="s">
        <v>111</v>
      </c>
      <c r="D46" s="176"/>
    </row>
    <row r="47" spans="1:7">
      <c r="A47" s="173" t="s">
        <v>74</v>
      </c>
      <c r="B47" s="33">
        <f t="shared" si="0"/>
        <v>630.7714285714286</v>
      </c>
      <c r="C47" s="34" t="s">
        <v>111</v>
      </c>
      <c r="D47" s="176"/>
    </row>
    <row r="48" spans="1:7">
      <c r="A48" s="173" t="s">
        <v>75</v>
      </c>
      <c r="B48" s="33">
        <f t="shared" si="0"/>
        <v>268.79464285714283</v>
      </c>
      <c r="C48" s="33">
        <f>B48*10</f>
        <v>2687.9464285714284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2241.8000000000002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17154.63</v>
      </c>
      <c r="C5" s="17">
        <f>IF(ISERROR('Eigen informatie GS &amp; warmtenet'!B58),0,'Eigen informatie GS &amp; warmtenet'!B58)</f>
        <v>0</v>
      </c>
      <c r="D5" s="30">
        <f>SUM(D6:D12)</f>
        <v>12652.279134</v>
      </c>
      <c r="E5" s="17">
        <f>SUM(E6:E12)</f>
        <v>253.60123418053547</v>
      </c>
      <c r="F5" s="17">
        <f>SUM(F6:F12)</f>
        <v>3508.4635728278895</v>
      </c>
      <c r="G5" s="18"/>
      <c r="H5" s="17"/>
      <c r="I5" s="17"/>
      <c r="J5" s="17">
        <f>SUM(J6:J12)</f>
        <v>0</v>
      </c>
      <c r="K5" s="17"/>
      <c r="L5" s="17"/>
      <c r="M5" s="17"/>
      <c r="N5" s="17">
        <f>SUM(N6:N12)</f>
        <v>1963.782004661269</v>
      </c>
      <c r="O5" s="17">
        <f>B38*B39*B40</f>
        <v>4.6900000000000004</v>
      </c>
      <c r="P5" s="17">
        <f>B46*B47*B48/1000-B46*B47*B48/1000/B49</f>
        <v>19.066666666666666</v>
      </c>
      <c r="R5" s="32"/>
    </row>
    <row r="6" spans="1:18">
      <c r="A6" s="32" t="s">
        <v>54</v>
      </c>
      <c r="B6" s="37">
        <f>B26</f>
        <v>4092.9760000000001</v>
      </c>
      <c r="C6" s="33"/>
      <c r="D6" s="37">
        <f>IF(ISERROR(TER_kantoor_gas_kWh/1000),0,TER_kantoor_gas_kWh/1000)*0.902</f>
        <v>4664.4990699999998</v>
      </c>
      <c r="E6" s="33">
        <f>$C$26*'E Balans VL '!I12/100/3.6*1000000</f>
        <v>15.902078293507641</v>
      </c>
      <c r="F6" s="33">
        <f>$C$26*('E Balans VL '!L12+'E Balans VL '!N12)/100/3.6*1000000</f>
        <v>622.50440648767858</v>
      </c>
      <c r="G6" s="34"/>
      <c r="H6" s="33"/>
      <c r="I6" s="33"/>
      <c r="J6" s="33">
        <f>$C$26*('E Balans VL '!D12+'E Balans VL '!E12)/100/3.6*1000000</f>
        <v>0</v>
      </c>
      <c r="K6" s="33"/>
      <c r="L6" s="33"/>
      <c r="M6" s="33"/>
      <c r="N6" s="33">
        <f>$C$26*'E Balans VL '!Y12/100/3.6*1000000</f>
        <v>2.2557201024495588</v>
      </c>
      <c r="O6" s="33"/>
      <c r="P6" s="33"/>
      <c r="R6" s="32"/>
    </row>
    <row r="7" spans="1:18">
      <c r="A7" s="32" t="s">
        <v>53</v>
      </c>
      <c r="B7" s="37">
        <f t="shared" ref="B7:B12" si="0">B27</f>
        <v>1952.8230000000001</v>
      </c>
      <c r="C7" s="33"/>
      <c r="D7" s="37">
        <f>IF(ISERROR(TER_horeca_gas_kWh/1000),0,TER_horeca_gas_kWh/1000)*0.902</f>
        <v>1607.48577</v>
      </c>
      <c r="E7" s="33">
        <f>$C$27*'E Balans VL '!I9/100/3.6*1000000</f>
        <v>110.00304168836765</v>
      </c>
      <c r="F7" s="33">
        <f>$C$27*('E Balans VL '!L9+'E Balans VL '!N9)/100/3.6*1000000</f>
        <v>563.07724007365414</v>
      </c>
      <c r="G7" s="34"/>
      <c r="H7" s="33"/>
      <c r="I7" s="33"/>
      <c r="J7" s="33">
        <f>$C$27*('E Balans VL '!D9+'E Balans VL '!E9)/100/3.6*1000000</f>
        <v>0</v>
      </c>
      <c r="K7" s="33"/>
      <c r="L7" s="33"/>
      <c r="M7" s="33"/>
      <c r="N7" s="33">
        <f>$C$27*'E Balans VL '!Y9/100/3.6*1000000</f>
        <v>0.53916428247691439</v>
      </c>
      <c r="O7" s="33"/>
      <c r="P7" s="33"/>
      <c r="R7" s="32"/>
    </row>
    <row r="8" spans="1:18">
      <c r="A8" s="6" t="s">
        <v>52</v>
      </c>
      <c r="B8" s="37">
        <f t="shared" si="0"/>
        <v>7946.3469999999998</v>
      </c>
      <c r="C8" s="33"/>
      <c r="D8" s="37">
        <f>IF(ISERROR(TER_handel_gas_kWh/1000),0,TER_handel_gas_kWh/1000)*0.902</f>
        <v>1892.9353960000001</v>
      </c>
      <c r="E8" s="33">
        <f>$C$28*'E Balans VL '!I13/100/3.6*1000000</f>
        <v>114.53381954357903</v>
      </c>
      <c r="F8" s="33">
        <f>$C$28*('E Balans VL '!L13+'E Balans VL '!N13)/100/3.6*1000000</f>
        <v>1380.4655318341331</v>
      </c>
      <c r="G8" s="34"/>
      <c r="H8" s="33"/>
      <c r="I8" s="33"/>
      <c r="J8" s="33">
        <f>$C$28*('E Balans VL '!D13+'E Balans VL '!E13)/100/3.6*1000000</f>
        <v>0</v>
      </c>
      <c r="K8" s="33"/>
      <c r="L8" s="33"/>
      <c r="M8" s="33"/>
      <c r="N8" s="33">
        <f>$C$28*'E Balans VL '!Y13/100/3.6*1000000</f>
        <v>23.808140217571047</v>
      </c>
      <c r="O8" s="33"/>
      <c r="P8" s="33"/>
      <c r="R8" s="32"/>
    </row>
    <row r="9" spans="1:18">
      <c r="A9" s="32" t="s">
        <v>51</v>
      </c>
      <c r="B9" s="37">
        <f t="shared" si="0"/>
        <v>133.62100000000001</v>
      </c>
      <c r="C9" s="33"/>
      <c r="D9" s="37">
        <f>IF(ISERROR(TER_gezond_gas_kWh/1000),0,TER_gezond_gas_kWh/1000)*0.902</f>
        <v>334.70243400000004</v>
      </c>
      <c r="E9" s="33">
        <f>$C$29*'E Balans VL '!I10/100/3.6*1000000</f>
        <v>0.14274186129133265</v>
      </c>
      <c r="F9" s="33">
        <f>$C$29*('E Balans VL '!L10+'E Balans VL '!N10)/100/3.6*1000000</f>
        <v>21.797645994576044</v>
      </c>
      <c r="G9" s="34"/>
      <c r="H9" s="33"/>
      <c r="I9" s="33"/>
      <c r="J9" s="33">
        <f>$C$29*('E Balans VL '!D10+'E Balans VL '!E10)/100/3.6*1000000</f>
        <v>0</v>
      </c>
      <c r="K9" s="33"/>
      <c r="L9" s="33"/>
      <c r="M9" s="33"/>
      <c r="N9" s="33">
        <f>$C$29*'E Balans VL '!Y10/100/3.6*1000000</f>
        <v>1.3755519523784636</v>
      </c>
      <c r="O9" s="33"/>
      <c r="P9" s="33"/>
      <c r="R9" s="32"/>
    </row>
    <row r="10" spans="1:18">
      <c r="A10" s="32" t="s">
        <v>50</v>
      </c>
      <c r="B10" s="37">
        <f t="shared" si="0"/>
        <v>2781.0630000000001</v>
      </c>
      <c r="C10" s="33"/>
      <c r="D10" s="37">
        <f>IF(ISERROR(TER_ander_gas_kWh/1000),0,TER_ander_gas_kWh/1000)*0.902</f>
        <v>3615.8437920000001</v>
      </c>
      <c r="E10" s="33">
        <f>$C$30*'E Balans VL '!I14/100/3.6*1000000</f>
        <v>12.789685705914565</v>
      </c>
      <c r="F10" s="33">
        <f>$C$30*('E Balans VL '!L14+'E Balans VL '!N14)/100/3.6*1000000</f>
        <v>833.57230371137894</v>
      </c>
      <c r="G10" s="34"/>
      <c r="H10" s="33"/>
      <c r="I10" s="33"/>
      <c r="J10" s="33">
        <f>$C$30*('E Balans VL '!D14+'E Balans VL '!E14)/100/3.6*1000000</f>
        <v>0</v>
      </c>
      <c r="K10" s="33"/>
      <c r="L10" s="33"/>
      <c r="M10" s="33"/>
      <c r="N10" s="33">
        <f>$C$30*'E Balans VL '!Y14/100/3.6*1000000</f>
        <v>1935.8034281063931</v>
      </c>
      <c r="O10" s="33"/>
      <c r="P10" s="33"/>
      <c r="R10" s="32"/>
    </row>
    <row r="11" spans="1:18">
      <c r="A11" s="32" t="s">
        <v>55</v>
      </c>
      <c r="B11" s="37">
        <f t="shared" si="0"/>
        <v>247.8</v>
      </c>
      <c r="C11" s="33"/>
      <c r="D11" s="37">
        <f>IF(ISERROR(TER_onderwijs_gas_kWh/1000),0,TER_onderwijs_gas_kWh/1000)*0.902</f>
        <v>536.81267200000002</v>
      </c>
      <c r="E11" s="33">
        <f>$C$31*'E Balans VL '!I11/100/3.6*1000000</f>
        <v>0.22986708787524382</v>
      </c>
      <c r="F11" s="33">
        <f>$C$31*('E Balans VL '!L11+'E Balans VL '!N11)/100/3.6*1000000</f>
        <v>87.046444726468593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17154.63</v>
      </c>
      <c r="C16" s="21">
        <f t="shared" ca="1" si="1"/>
        <v>0</v>
      </c>
      <c r="D16" s="21">
        <f t="shared" ca="1" si="1"/>
        <v>12652.279134</v>
      </c>
      <c r="E16" s="21">
        <f t="shared" si="1"/>
        <v>253.60123418053547</v>
      </c>
      <c r="F16" s="21">
        <f t="shared" ca="1" si="1"/>
        <v>3508.4635728278895</v>
      </c>
      <c r="G16" s="21">
        <f t="shared" si="1"/>
        <v>0</v>
      </c>
      <c r="H16" s="21">
        <f t="shared" si="1"/>
        <v>0</v>
      </c>
      <c r="I16" s="21">
        <f t="shared" si="1"/>
        <v>0</v>
      </c>
      <c r="J16" s="21">
        <f t="shared" si="1"/>
        <v>0</v>
      </c>
      <c r="K16" s="21">
        <f t="shared" si="1"/>
        <v>0</v>
      </c>
      <c r="L16" s="21">
        <f t="shared" ca="1" si="1"/>
        <v>0</v>
      </c>
      <c r="M16" s="21">
        <f t="shared" si="1"/>
        <v>0</v>
      </c>
      <c r="N16" s="21">
        <f t="shared" ca="1" si="1"/>
        <v>1963.782004661269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0.1879399245725516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3224.0398682700311</v>
      </c>
      <c r="C20" s="23">
        <f t="shared" ref="C20:P20" ca="1" si="2">C16*C18</f>
        <v>0</v>
      </c>
      <c r="D20" s="23">
        <f t="shared" ca="1" si="2"/>
        <v>2555.7603850680002</v>
      </c>
      <c r="E20" s="23">
        <f t="shared" si="2"/>
        <v>57.567480158981553</v>
      </c>
      <c r="F20" s="23">
        <f t="shared" ca="1" si="2"/>
        <v>936.7597739450465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4092.9760000000001</v>
      </c>
      <c r="C26" s="39">
        <f>IF(ISERROR(B26*3.6/1000000/'E Balans VL '!Z12*100),0,B26*3.6/1000000/'E Balans VL '!Z12*100)</f>
        <v>8.6936837636752431E-2</v>
      </c>
      <c r="D26" s="239" t="s">
        <v>692</v>
      </c>
      <c r="F26" s="6"/>
    </row>
    <row r="27" spans="1:18">
      <c r="A27" s="233" t="s">
        <v>53</v>
      </c>
      <c r="B27" s="33">
        <f>IF(ISERROR(TER_horeca_ele_kWh/1000),0,TER_horeca_ele_kWh/1000)</f>
        <v>1952.8230000000001</v>
      </c>
      <c r="C27" s="39">
        <f>IF(ISERROR(B27*3.6/1000000/'E Balans VL '!Z9*100),0,B27*3.6/1000000/'E Balans VL '!Z9*100)</f>
        <v>0.1518438810949678</v>
      </c>
      <c r="D27" s="239" t="s">
        <v>692</v>
      </c>
      <c r="F27" s="6"/>
    </row>
    <row r="28" spans="1:18">
      <c r="A28" s="173" t="s">
        <v>52</v>
      </c>
      <c r="B28" s="33">
        <f>IF(ISERROR(TER_handel_ele_kWh/1000),0,TER_handel_ele_kWh/1000)</f>
        <v>7946.3469999999998</v>
      </c>
      <c r="C28" s="39">
        <f>IF(ISERROR(B28*3.6/1000000/'E Balans VL '!Z13*100),0,B28*3.6/1000000/'E Balans VL '!Z13*100)</f>
        <v>0.22735433958489945</v>
      </c>
      <c r="D28" s="239" t="s">
        <v>692</v>
      </c>
      <c r="F28" s="6"/>
    </row>
    <row r="29" spans="1:18">
      <c r="A29" s="233" t="s">
        <v>51</v>
      </c>
      <c r="B29" s="33">
        <f>IF(ISERROR(TER_gezond_ele_kWh/1000),0,TER_gezond_ele_kWh/1000)</f>
        <v>133.62100000000001</v>
      </c>
      <c r="C29" s="39">
        <f>IF(ISERROR(B29*3.6/1000000/'E Balans VL '!Z10*100),0,B29*3.6/1000000/'E Balans VL '!Z10*100)</f>
        <v>1.4567793979654121E-2</v>
      </c>
      <c r="D29" s="239" t="s">
        <v>692</v>
      </c>
      <c r="F29" s="6"/>
    </row>
    <row r="30" spans="1:18">
      <c r="A30" s="233" t="s">
        <v>50</v>
      </c>
      <c r="B30" s="33">
        <f>IF(ISERROR(TER_ander_ele_kWh/1000),0,TER_ander_ele_kWh/1000)</f>
        <v>2781.0630000000001</v>
      </c>
      <c r="C30" s="39">
        <f>IF(ISERROR(B30*3.6/1000000/'E Balans VL '!Z14*100),0,B30*3.6/1000000/'E Balans VL '!Z14*100)</f>
        <v>0.20351188164813486</v>
      </c>
      <c r="D30" s="239" t="s">
        <v>692</v>
      </c>
      <c r="F30" s="6"/>
    </row>
    <row r="31" spans="1:18">
      <c r="A31" s="233" t="s">
        <v>55</v>
      </c>
      <c r="B31" s="33">
        <f>IF(ISERROR(TER_onderwijs_ele_kWh/1000),0,TER_onderwijs_ele_kWh/1000)</f>
        <v>247.8</v>
      </c>
      <c r="C31" s="39">
        <f>IF(ISERROR(B31*3.6/1000000/'E Balans VL '!Z11*100),0,B31*3.6/1000000/'E Balans VL '!Z11*100)</f>
        <v>4.9770814011205915E-2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2068.3270000000002</v>
      </c>
      <c r="C5" s="17">
        <f>IF(ISERROR('Eigen informatie GS &amp; warmtenet'!B59),0,'Eigen informatie GS &amp; warmtenet'!B59)</f>
        <v>0</v>
      </c>
      <c r="D5" s="30">
        <f>SUM(D6:D15)</f>
        <v>1324.643826</v>
      </c>
      <c r="E5" s="17">
        <f>SUM(E6:E15)</f>
        <v>323.35951368618032</v>
      </c>
      <c r="F5" s="17">
        <f>SUM(F6:F15)</f>
        <v>1611.398949121347</v>
      </c>
      <c r="G5" s="18"/>
      <c r="H5" s="17"/>
      <c r="I5" s="17"/>
      <c r="J5" s="17">
        <f>SUM(J6:J15)</f>
        <v>1.2604703332201297</v>
      </c>
      <c r="K5" s="17"/>
      <c r="L5" s="17"/>
      <c r="M5" s="17"/>
      <c r="N5" s="17">
        <f>SUM(N6:N15)</f>
        <v>750.00223339000763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158.07300000000001</v>
      </c>
      <c r="C8" s="33"/>
      <c r="D8" s="37">
        <f>IF( ISERROR(IND_metaal_Gas_kWH/1000),0,IND_metaal_Gas_kWH/1000)*0.902</f>
        <v>0</v>
      </c>
      <c r="E8" s="33">
        <f>C30*'E Balans VL '!I18/100/3.6*1000000</f>
        <v>4.540449893252732</v>
      </c>
      <c r="F8" s="33">
        <f>C30*'E Balans VL '!L18/100/3.6*1000000+C30*'E Balans VL '!N18/100/3.6*1000000</f>
        <v>40.542684319301735</v>
      </c>
      <c r="G8" s="34"/>
      <c r="H8" s="33"/>
      <c r="I8" s="33"/>
      <c r="J8" s="40">
        <f>C30*'E Balans VL '!D18/100/3.6*1000000+C30*'E Balans VL '!E18/100/3.6*1000000</f>
        <v>0</v>
      </c>
      <c r="K8" s="33"/>
      <c r="L8" s="33"/>
      <c r="M8" s="33"/>
      <c r="N8" s="33">
        <f>C30*'E Balans VL '!Y18/100/3.6*1000000</f>
        <v>4.2920046227085331</v>
      </c>
      <c r="O8" s="33"/>
      <c r="P8" s="33"/>
      <c r="R8" s="32"/>
    </row>
    <row r="9" spans="1:18">
      <c r="A9" s="6" t="s">
        <v>33</v>
      </c>
      <c r="B9" s="37">
        <f t="shared" si="0"/>
        <v>992.78099999999995</v>
      </c>
      <c r="C9" s="33"/>
      <c r="D9" s="37">
        <f>IF( ISERROR(IND_andere_gas_kWh/1000),0,IND_andere_gas_kWh/1000)*0.902</f>
        <v>1044.36266</v>
      </c>
      <c r="E9" s="33">
        <f>C31*'E Balans VL '!I19/100/3.6*1000000</f>
        <v>268.72140715339924</v>
      </c>
      <c r="F9" s="33">
        <f>C31*'E Balans VL '!L19/100/3.6*1000000+C31*'E Balans VL '!N19/100/3.6*1000000</f>
        <v>661.29720417542853</v>
      </c>
      <c r="G9" s="34"/>
      <c r="H9" s="33"/>
      <c r="I9" s="33"/>
      <c r="J9" s="40">
        <f>C31*'E Balans VL '!D19/100/3.6*1000000+C31*'E Balans VL '!E19/100/3.6*1000000</f>
        <v>0</v>
      </c>
      <c r="K9" s="33"/>
      <c r="L9" s="33"/>
      <c r="M9" s="33"/>
      <c r="N9" s="33">
        <f>C31*'E Balans VL '!Y19/100/3.6*1000000</f>
        <v>324.12650499573579</v>
      </c>
      <c r="O9" s="33"/>
      <c r="P9" s="33"/>
      <c r="R9" s="32"/>
    </row>
    <row r="10" spans="1:18">
      <c r="A10" s="6" t="s">
        <v>41</v>
      </c>
      <c r="B10" s="37">
        <f t="shared" si="0"/>
        <v>544.423</v>
      </c>
      <c r="C10" s="33"/>
      <c r="D10" s="37">
        <f>IF( ISERROR(IND_voed_gas_kWh/1000),0,IND_voed_gas_kWh/1000)*0.902</f>
        <v>212.954082</v>
      </c>
      <c r="E10" s="33">
        <f>C32*'E Balans VL '!I20/100/3.6*1000000</f>
        <v>44.404390659295537</v>
      </c>
      <c r="F10" s="33">
        <f>C32*'E Balans VL '!L20/100/3.6*1000000+C32*'E Balans VL '!N20/100/3.6*1000000</f>
        <v>811.78408738255962</v>
      </c>
      <c r="G10" s="34"/>
      <c r="H10" s="33"/>
      <c r="I10" s="33"/>
      <c r="J10" s="40">
        <f>C32*'E Balans VL '!D20/100/3.6*1000000+C32*'E Balans VL '!E20/100/3.6*1000000</f>
        <v>7.2020554491302085E-3</v>
      </c>
      <c r="K10" s="33"/>
      <c r="L10" s="33"/>
      <c r="M10" s="33"/>
      <c r="N10" s="33">
        <f>C32*'E Balans VL '!Y20/100/3.6*1000000</f>
        <v>159.93226678376965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203.87899999999999</v>
      </c>
      <c r="C12" s="33"/>
      <c r="D12" s="37">
        <f>IF( ISERROR(IND_min_gas_kWh/1000),0,IND_min_gas_kWh/1000)*0.902</f>
        <v>33.267564</v>
      </c>
      <c r="E12" s="33">
        <f>C34*'E Balans VL '!I22/100/3.6*1000000</f>
        <v>1.588172986656804</v>
      </c>
      <c r="F12" s="33">
        <f>C34*'E Balans VL '!L22/100/3.6*1000000+C34*'E Balans VL '!N22/100/3.6*1000000</f>
        <v>76.890630052793938</v>
      </c>
      <c r="G12" s="34"/>
      <c r="H12" s="33"/>
      <c r="I12" s="33"/>
      <c r="J12" s="40">
        <f>C34*'E Balans VL '!D22/100/3.6*1000000+C34*'E Balans VL '!E22/100/3.6*1000000</f>
        <v>1.1213166742621872</v>
      </c>
      <c r="K12" s="33"/>
      <c r="L12" s="33"/>
      <c r="M12" s="33"/>
      <c r="N12" s="33">
        <f>C34*'E Balans VL '!Y22/100/3.6*1000000</f>
        <v>0</v>
      </c>
      <c r="O12" s="33"/>
      <c r="P12" s="33"/>
      <c r="R12" s="32"/>
    </row>
    <row r="13" spans="1:18">
      <c r="A13" s="6" t="s">
        <v>39</v>
      </c>
      <c r="B13" s="37">
        <f t="shared" si="0"/>
        <v>117.68899999999999</v>
      </c>
      <c r="C13" s="33"/>
      <c r="D13" s="37">
        <f>IF( ISERROR(IND_papier_gas_kWh/1000),0,IND_papier_gas_kWh/1000)*0.902</f>
        <v>0</v>
      </c>
      <c r="E13" s="33">
        <f>C35*'E Balans VL '!I23/100/3.6*1000000</f>
        <v>1.23300667819218</v>
      </c>
      <c r="F13" s="33">
        <f>C35*'E Balans VL '!L23/100/3.6*1000000+C35*'E Balans VL '!N23/100/3.6*1000000</f>
        <v>8.7819740399083788</v>
      </c>
      <c r="G13" s="34"/>
      <c r="H13" s="33"/>
      <c r="I13" s="33"/>
      <c r="J13" s="40">
        <f>C35*'E Balans VL '!D23/100/3.6*1000000+C35*'E Balans VL '!E23/100/3.6*1000000</f>
        <v>0</v>
      </c>
      <c r="K13" s="33"/>
      <c r="L13" s="33"/>
      <c r="M13" s="33"/>
      <c r="N13" s="33">
        <f>C35*'E Balans VL '!Y23/100/3.6*1000000</f>
        <v>251.54795349541666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51.481999999999999</v>
      </c>
      <c r="C15" s="33"/>
      <c r="D15" s="37">
        <f>IF( ISERROR(IND_rest_gas_kWh/1000),0,IND_rest_gas_kWh/1000)*0.902</f>
        <v>34.059519999999999</v>
      </c>
      <c r="E15" s="33">
        <f>C37*'E Balans VL '!I15/100/3.6*1000000</f>
        <v>2.8720863153838363</v>
      </c>
      <c r="F15" s="33">
        <f>C37*'E Balans VL '!L15/100/3.6*1000000+C37*'E Balans VL '!N15/100/3.6*1000000</f>
        <v>12.102369151354649</v>
      </c>
      <c r="G15" s="34"/>
      <c r="H15" s="33"/>
      <c r="I15" s="33"/>
      <c r="J15" s="40">
        <f>C37*'E Balans VL '!D15/100/3.6*1000000+C37*'E Balans VL '!E15/100/3.6*1000000</f>
        <v>0.13195160350881244</v>
      </c>
      <c r="K15" s="33"/>
      <c r="L15" s="33"/>
      <c r="M15" s="33"/>
      <c r="N15" s="33">
        <f>C37*'E Balans VL '!Y15/100/3.6*1000000</f>
        <v>10.10350349237711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2068.3270000000002</v>
      </c>
      <c r="C18" s="21">
        <f>C5+C16</f>
        <v>0</v>
      </c>
      <c r="D18" s="21">
        <f>MAX((D5+D16),0)</f>
        <v>1324.643826</v>
      </c>
      <c r="E18" s="21">
        <f>MAX((E5+E16),0)</f>
        <v>323.35951368618032</v>
      </c>
      <c r="F18" s="21">
        <f>MAX((F5+F16),0)</f>
        <v>1611.398949121347</v>
      </c>
      <c r="G18" s="21"/>
      <c r="H18" s="21"/>
      <c r="I18" s="21"/>
      <c r="J18" s="21">
        <f>MAX((J5+J16),0)</f>
        <v>1.2604703332201297</v>
      </c>
      <c r="K18" s="21"/>
      <c r="L18" s="21">
        <f>MAX((L5+L16),0)</f>
        <v>0</v>
      </c>
      <c r="M18" s="21"/>
      <c r="N18" s="21">
        <f>MAX((N5+N16),0)</f>
        <v>750.00223339000763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0.1879399245725516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388.721220371372</v>
      </c>
      <c r="C22" s="23">
        <f ca="1">C18*C20</f>
        <v>0</v>
      </c>
      <c r="D22" s="23">
        <f>D18*D20</f>
        <v>267.57805285200004</v>
      </c>
      <c r="E22" s="23">
        <f>E18*E20</f>
        <v>73.402609606762937</v>
      </c>
      <c r="F22" s="23">
        <f>F18*F20</f>
        <v>430.24351941539965</v>
      </c>
      <c r="G22" s="23"/>
      <c r="H22" s="23"/>
      <c r="I22" s="23"/>
      <c r="J22" s="23">
        <f>J18*J20</f>
        <v>0.4462064979599259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158.07300000000001</v>
      </c>
      <c r="C30" s="39">
        <f>IF(ISERROR(B30*3.6/1000000/'E Balans VL '!Z18*100),0,B30*3.6/1000000/'E Balans VL '!Z18*100)</f>
        <v>1.5553979682615711E-2</v>
      </c>
      <c r="D30" s="239" t="s">
        <v>692</v>
      </c>
    </row>
    <row r="31" spans="1:18">
      <c r="A31" s="6" t="s">
        <v>33</v>
      </c>
      <c r="B31" s="37">
        <f>IF( ISERROR(IND_ander_ele_kWh/1000),0,IND_ander_ele_kWh/1000)</f>
        <v>992.78099999999995</v>
      </c>
      <c r="C31" s="39">
        <f>IF(ISERROR(B31*3.6/1000000/'E Balans VL '!Z19*100),0,B31*3.6/1000000/'E Balans VL '!Z19*100)</f>
        <v>4.3234820616397364E-2</v>
      </c>
      <c r="D31" s="239" t="s">
        <v>692</v>
      </c>
    </row>
    <row r="32" spans="1:18">
      <c r="A32" s="173" t="s">
        <v>41</v>
      </c>
      <c r="B32" s="37">
        <f>IF( ISERROR(IND_voed_ele_kWh/1000),0,IND_voed_ele_kWh/1000)</f>
        <v>544.423</v>
      </c>
      <c r="C32" s="39">
        <f>IF(ISERROR(B32*3.6/1000000/'E Balans VL '!Z20*100),0,B32*3.6/1000000/'E Balans VL '!Z20*100)</f>
        <v>0.10329641281620608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203.87899999999999</v>
      </c>
      <c r="C34" s="39">
        <f>IF(ISERROR(B34*3.6/1000000/'E Balans VL '!Z22*100),0,B34*3.6/1000000/'E Balans VL '!Z22*100)</f>
        <v>2.8667434689104751E-2</v>
      </c>
      <c r="D34" s="239" t="s">
        <v>692</v>
      </c>
    </row>
    <row r="35" spans="1:5">
      <c r="A35" s="173" t="s">
        <v>39</v>
      </c>
      <c r="B35" s="37">
        <f>IF( ISERROR(IND_papier_ele_kWh/1000),0,IND_papier_ele_kWh/1000)</f>
        <v>117.68899999999999</v>
      </c>
      <c r="C35" s="39">
        <f>IF(ISERROR(B35*3.6/1000000/'E Balans VL '!Z22*100),0,B35*3.6/1000000/'E Balans VL '!Z22*100)</f>
        <v>1.6548255196101851E-2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51.481999999999999</v>
      </c>
      <c r="C37" s="39">
        <f>IF(ISERROR(B37*3.6/1000000/'E Balans VL '!Z15*100),0,B37*3.6/1000000/'E Balans VL '!Z15*100)</f>
        <v>3.9673204293011206E-4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957.678</v>
      </c>
      <c r="C5" s="17">
        <f>'Eigen informatie GS &amp; warmtenet'!B60</f>
        <v>0</v>
      </c>
      <c r="D5" s="30">
        <f>IF(ISERROR(SUM(LB_lb_gas_kWh,LB_rest_gas_kWh)/1000),0,SUM(LB_lb_gas_kWh,LB_rest_gas_kWh)/1000)*0.902</f>
        <v>4602.0301580000005</v>
      </c>
      <c r="E5" s="17">
        <f>B17*'E Balans VL '!I25/3.6*1000000/100</f>
        <v>12.067976540108749</v>
      </c>
      <c r="F5" s="17">
        <f>B17*('E Balans VL '!L25/3.6*1000000+'E Balans VL '!N25/3.6*1000000)/100</f>
        <v>3304.2290126743701</v>
      </c>
      <c r="G5" s="18"/>
      <c r="H5" s="17"/>
      <c r="I5" s="17"/>
      <c r="J5" s="17">
        <f>('E Balans VL '!D25+'E Balans VL '!E25)/3.6*1000000*landbouw!B17/100</f>
        <v>144.02388470071631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957.678</v>
      </c>
      <c r="C8" s="21">
        <f>C5+C6</f>
        <v>0</v>
      </c>
      <c r="D8" s="21">
        <f>MAX((D5+D6),0)</f>
        <v>4602.0301580000005</v>
      </c>
      <c r="E8" s="21">
        <f>MAX((E5+E6),0)</f>
        <v>12.067976540108749</v>
      </c>
      <c r="F8" s="21">
        <f>MAX((F5+F6),0)</f>
        <v>3304.2290126743701</v>
      </c>
      <c r="G8" s="21"/>
      <c r="H8" s="21"/>
      <c r="I8" s="21"/>
      <c r="J8" s="21">
        <f>MAX((J5+J6),0)</f>
        <v>144.02388470071631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0.1879399245725516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179.98593108479207</v>
      </c>
      <c r="C12" s="23">
        <f ca="1">C8*C10</f>
        <v>0</v>
      </c>
      <c r="D12" s="23">
        <f>D8*D10</f>
        <v>929.6100919160001</v>
      </c>
      <c r="E12" s="23">
        <f>E8*E10</f>
        <v>2.7394306746046859</v>
      </c>
      <c r="F12" s="23">
        <f>F8*F10</f>
        <v>882.22914638405689</v>
      </c>
      <c r="G12" s="23"/>
      <c r="H12" s="23"/>
      <c r="I12" s="23"/>
      <c r="J12" s="23">
        <f>J8*J10</f>
        <v>50.984455184053573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0.13356589674152453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142.35660979428258</v>
      </c>
      <c r="C26" s="249">
        <f>B26*'GWP N2O_CH4'!B5</f>
        <v>2989.4888056799341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62.487756792819809</v>
      </c>
      <c r="C27" s="249">
        <f>B27*'GWP N2O_CH4'!B5</f>
        <v>1312.2428926492159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2.2698611041607681</v>
      </c>
      <c r="C28" s="249">
        <f>B28*'GWP N2O_CH4'!B4</f>
        <v>703.65694228983807</v>
      </c>
      <c r="D28" s="50"/>
    </row>
    <row r="29" spans="1:4">
      <c r="A29" s="41" t="s">
        <v>277</v>
      </c>
      <c r="B29" s="249">
        <f>B34*'ha_N2O bodem landbouw'!B4</f>
        <v>9.0302422200085886</v>
      </c>
      <c r="C29" s="249">
        <f>B29*'GWP N2O_CH4'!B4</f>
        <v>2799.3750882026625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2.2547612496374683E-3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3.6981668058615098E-5</v>
      </c>
      <c r="C5" s="448" t="s">
        <v>211</v>
      </c>
      <c r="D5" s="433">
        <f>SUM(D6:D11)</f>
        <v>5.5350308915929692E-5</v>
      </c>
      <c r="E5" s="433">
        <f>SUM(E6:E11)</f>
        <v>1.929147837322701E-3</v>
      </c>
      <c r="F5" s="446" t="s">
        <v>211</v>
      </c>
      <c r="G5" s="433">
        <f>SUM(G6:G11)</f>
        <v>0.56344693134903667</v>
      </c>
      <c r="H5" s="433">
        <f>SUM(H6:H11)</f>
        <v>8.522873926067763E-2</v>
      </c>
      <c r="I5" s="448" t="s">
        <v>211</v>
      </c>
      <c r="J5" s="448" t="s">
        <v>211</v>
      </c>
      <c r="K5" s="448" t="s">
        <v>211</v>
      </c>
      <c r="L5" s="448" t="s">
        <v>211</v>
      </c>
      <c r="M5" s="433">
        <f>SUM(M6:M11)</f>
        <v>2.9315620185924041E-2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1.7852839667784519E-5</v>
      </c>
      <c r="C6" s="887"/>
      <c r="D6" s="887">
        <f>vkm_2011_GW_PW*SUMIFS(TableVerdeelsleutelVkm[CNG],TableVerdeelsleutelVkm[Voertuigtype],"Lichte voertuigen")*SUMIFS(TableECFTransport[EnergieConsumptieFactor (PJ per km)],TableECFTransport[Index],CONCATENATE($A6,"_CNG_CNG"))</f>
        <v>2.5283112638934711E-5</v>
      </c>
      <c r="E6" s="887">
        <f>vkm_2011_GW_PW*SUMIFS(TableVerdeelsleutelVkm[LPG],TableVerdeelsleutelVkm[Voertuigtype],"Lichte voertuigen")*SUMIFS(TableECFTransport[EnergieConsumptieFactor (PJ per km)],TableECFTransport[Index],CONCATENATE($A6,"_LPG_LPG"))</f>
        <v>7.940593337847318E-4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0.1427142052449499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3.8241419659867333E-2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8.1870106736142527E-3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4.5963966464957685E-2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1.6330520787475835E-5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2.0742083406430703E-3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1.7057549772146181E-6</v>
      </c>
      <c r="C8" s="887"/>
      <c r="D8" s="436">
        <f>vkm_2011_NGW_PW*SUMIFS(TableVerdeelsleutelVkm[CNG],TableVerdeelsleutelVkm[Voertuigtype],"Lichte voertuigen")*SUMIFS(TableECFTransport[EnergieConsumptieFactor (PJ per km)],TableECFTransport[Index],CONCATENATE($A8,"_CNG_CNG"))</f>
        <v>4.3035798494921421E-6</v>
      </c>
      <c r="E8" s="436">
        <f>vkm_2011_NGW_PW*SUMIFS(TableVerdeelsleutelVkm[LPG],TableVerdeelsleutelVkm[Voertuigtype],"Lichte voertuigen")*SUMIFS(TableECFTransport[EnergieConsumptieFactor (PJ per km)],TableECFTransport[Index],CONCATENATE($A8,"_LPG_LPG"))</f>
        <v>1.2449288849180842E-4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2.1102751806477565E-2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6.2808203894815636E-3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1.2392301899030946E-3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6.2888592339719598E-3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2.1143608624077927E-6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2.837908255345477E-4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1.7423073413615962E-5</v>
      </c>
      <c r="C10" s="887"/>
      <c r="D10" s="436">
        <f>vkm_2011_SW_PW*SUMIFS(TableVerdeelsleutelVkm[CNG],TableVerdeelsleutelVkm[Voertuigtype],"Lichte voertuigen")*SUMIFS(TableECFTransport[EnergieConsumptieFactor (PJ per km)],TableECFTransport[Index],CONCATENATE($A10,"_CNG_CNG"))</f>
        <v>2.5763616427502837E-5</v>
      </c>
      <c r="E10" s="436">
        <f>vkm_2011_SW_PW*SUMIFS(TableVerdeelsleutelVkm[LPG],TableVerdeelsleutelVkm[Voertuigtype],"Lichte voertuigen")*SUMIFS(TableECFTransport[EnergieConsumptieFactor (PJ per km)],TableECFTransport[Index],CONCATENATE($A10,"_LPG_LPG"))</f>
        <v>1.0105956150461607E-3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0.16449525643923343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4.0617984240788968E-2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9.2782661523055903E-3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0.18288189215944611</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7.0070088889891838E-5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8.2531140039234872E-3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10.272685571837528</v>
      </c>
      <c r="C14" s="21"/>
      <c r="D14" s="21">
        <f t="shared" ref="D14:M14" si="0">((D5)*10^9/3600)+D12</f>
        <v>15.375085809980471</v>
      </c>
      <c r="E14" s="21">
        <f t="shared" si="0"/>
        <v>535.87439925630588</v>
      </c>
      <c r="F14" s="21"/>
      <c r="G14" s="21">
        <f t="shared" si="0"/>
        <v>156513.03648584354</v>
      </c>
      <c r="H14" s="21">
        <f t="shared" si="0"/>
        <v>23674.649794632678</v>
      </c>
      <c r="I14" s="21"/>
      <c r="J14" s="21"/>
      <c r="K14" s="21"/>
      <c r="L14" s="21"/>
      <c r="M14" s="21">
        <f t="shared" si="0"/>
        <v>8143.2278294233447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0.1879399245725516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1.930647751528684</v>
      </c>
      <c r="C18" s="23"/>
      <c r="D18" s="23">
        <f t="shared" ref="D18:M18" si="1">D14*D16</f>
        <v>3.1057673336160554</v>
      </c>
      <c r="E18" s="23">
        <f t="shared" si="1"/>
        <v>121.64348863118144</v>
      </c>
      <c r="F18" s="23"/>
      <c r="G18" s="23">
        <f t="shared" si="1"/>
        <v>41788.980741720225</v>
      </c>
      <c r="H18" s="23">
        <f t="shared" si="1"/>
        <v>5894.9877988635371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2.5701493593195943E-3</v>
      </c>
      <c r="H50" s="323">
        <f t="shared" si="2"/>
        <v>0</v>
      </c>
      <c r="I50" s="323">
        <f t="shared" si="2"/>
        <v>0</v>
      </c>
      <c r="J50" s="323">
        <f t="shared" si="2"/>
        <v>0</v>
      </c>
      <c r="K50" s="323">
        <f t="shared" si="2"/>
        <v>0</v>
      </c>
      <c r="L50" s="323">
        <f t="shared" si="2"/>
        <v>0</v>
      </c>
      <c r="M50" s="323">
        <f t="shared" si="2"/>
        <v>1.1430082837935521E-4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2.5701493593195943E-3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1.1430082837935521E-4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713.9303775887762</v>
      </c>
      <c r="H54" s="21">
        <f t="shared" si="3"/>
        <v>0</v>
      </c>
      <c r="I54" s="21">
        <f t="shared" si="3"/>
        <v>0</v>
      </c>
      <c r="J54" s="21">
        <f t="shared" si="3"/>
        <v>0</v>
      </c>
      <c r="K54" s="21">
        <f t="shared" si="3"/>
        <v>0</v>
      </c>
      <c r="L54" s="21">
        <f t="shared" si="3"/>
        <v>0</v>
      </c>
      <c r="M54" s="21">
        <f t="shared" si="3"/>
        <v>31.750230105376449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0.1879399245725516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190.61941081620324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18043.513000000003</v>
      </c>
      <c r="D10" s="690">
        <f ca="1">tertiair!C16</f>
        <v>0</v>
      </c>
      <c r="E10" s="690">
        <f ca="1">tertiair!D16</f>
        <v>12652.279134</v>
      </c>
      <c r="F10" s="690">
        <f>tertiair!E16</f>
        <v>253.60123418053547</v>
      </c>
      <c r="G10" s="690">
        <f ca="1">tertiair!F16</f>
        <v>3508.4635728278895</v>
      </c>
      <c r="H10" s="690">
        <f>tertiair!G16</f>
        <v>0</v>
      </c>
      <c r="I10" s="690">
        <f>tertiair!H16</f>
        <v>0</v>
      </c>
      <c r="J10" s="690">
        <f>tertiair!I16</f>
        <v>0</v>
      </c>
      <c r="K10" s="690">
        <f>tertiair!J16</f>
        <v>0</v>
      </c>
      <c r="L10" s="690">
        <f>tertiair!K16</f>
        <v>0</v>
      </c>
      <c r="M10" s="690">
        <f ca="1">tertiair!L16</f>
        <v>0</v>
      </c>
      <c r="N10" s="690">
        <f>tertiair!M16</f>
        <v>0</v>
      </c>
      <c r="O10" s="690">
        <f ca="1">tertiair!N16</f>
        <v>1963.782004661269</v>
      </c>
      <c r="P10" s="690">
        <f>tertiair!O16</f>
        <v>4.6900000000000004</v>
      </c>
      <c r="Q10" s="691">
        <f>tertiair!P16</f>
        <v>19.066666666666666</v>
      </c>
      <c r="R10" s="693">
        <f ca="1">SUM(C10:Q10)</f>
        <v>36445.395612336368</v>
      </c>
      <c r="S10" s="67"/>
    </row>
    <row r="11" spans="1:19" s="458" customFormat="1">
      <c r="A11" s="805" t="s">
        <v>225</v>
      </c>
      <c r="B11" s="810"/>
      <c r="C11" s="690">
        <f>huishoudens!B8</f>
        <v>27500.474000000002</v>
      </c>
      <c r="D11" s="690">
        <f>huishoudens!C8</f>
        <v>0</v>
      </c>
      <c r="E11" s="690">
        <f>huishoudens!D8</f>
        <v>48671.505080000003</v>
      </c>
      <c r="F11" s="690">
        <f>huishoudens!E8</f>
        <v>6347.871384867557</v>
      </c>
      <c r="G11" s="690">
        <f>huishoudens!F8</f>
        <v>56688.126042176111</v>
      </c>
      <c r="H11" s="690">
        <f>huishoudens!G8</f>
        <v>0</v>
      </c>
      <c r="I11" s="690">
        <f>huishoudens!H8</f>
        <v>0</v>
      </c>
      <c r="J11" s="690">
        <f>huishoudens!I8</f>
        <v>0</v>
      </c>
      <c r="K11" s="690">
        <f>huishoudens!J8</f>
        <v>0</v>
      </c>
      <c r="L11" s="690">
        <f>huishoudens!K8</f>
        <v>0</v>
      </c>
      <c r="M11" s="690">
        <f>huishoudens!L8</f>
        <v>0</v>
      </c>
      <c r="N11" s="690">
        <f>huishoudens!M8</f>
        <v>0</v>
      </c>
      <c r="O11" s="690">
        <f>huishoudens!N8</f>
        <v>20997.978348938737</v>
      </c>
      <c r="P11" s="690">
        <f>huishoudens!O8</f>
        <v>292.34333333333331</v>
      </c>
      <c r="Q11" s="691">
        <f>huishoudens!P8</f>
        <v>781.73333333333335</v>
      </c>
      <c r="R11" s="693">
        <f>SUM(C11:Q11)</f>
        <v>161280.03152264908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2068.3270000000002</v>
      </c>
      <c r="D13" s="690">
        <f>industrie!C18</f>
        <v>0</v>
      </c>
      <c r="E13" s="690">
        <f>industrie!D18</f>
        <v>1324.643826</v>
      </c>
      <c r="F13" s="690">
        <f>industrie!E18</f>
        <v>323.35951368618032</v>
      </c>
      <c r="G13" s="690">
        <f>industrie!F18</f>
        <v>1611.398949121347</v>
      </c>
      <c r="H13" s="690">
        <f>industrie!G18</f>
        <v>0</v>
      </c>
      <c r="I13" s="690">
        <f>industrie!H18</f>
        <v>0</v>
      </c>
      <c r="J13" s="690">
        <f>industrie!I18</f>
        <v>0</v>
      </c>
      <c r="K13" s="690">
        <f>industrie!J18</f>
        <v>1.2604703332201297</v>
      </c>
      <c r="L13" s="690">
        <f>industrie!K18</f>
        <v>0</v>
      </c>
      <c r="M13" s="690">
        <f>industrie!L18</f>
        <v>0</v>
      </c>
      <c r="N13" s="690">
        <f>industrie!M18</f>
        <v>0</v>
      </c>
      <c r="O13" s="690">
        <f>industrie!N18</f>
        <v>750.00223339000763</v>
      </c>
      <c r="P13" s="690">
        <f>industrie!O18</f>
        <v>0</v>
      </c>
      <c r="Q13" s="691">
        <f>industrie!P18</f>
        <v>0</v>
      </c>
      <c r="R13" s="693">
        <f>SUM(C13:Q13)</f>
        <v>6078.9919925307559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47612.314000000006</v>
      </c>
      <c r="D16" s="725">
        <f t="shared" ref="D16:R16" ca="1" si="0">SUM(D9:D15)</f>
        <v>0</v>
      </c>
      <c r="E16" s="725">
        <f t="shared" ca="1" si="0"/>
        <v>62648.428039999999</v>
      </c>
      <c r="F16" s="725">
        <f t="shared" si="0"/>
        <v>6924.8321327342728</v>
      </c>
      <c r="G16" s="725">
        <f t="shared" ca="1" si="0"/>
        <v>61807.98856412535</v>
      </c>
      <c r="H16" s="725">
        <f t="shared" si="0"/>
        <v>0</v>
      </c>
      <c r="I16" s="725">
        <f t="shared" si="0"/>
        <v>0</v>
      </c>
      <c r="J16" s="725">
        <f t="shared" si="0"/>
        <v>0</v>
      </c>
      <c r="K16" s="725">
        <f t="shared" si="0"/>
        <v>1.2604703332201297</v>
      </c>
      <c r="L16" s="725">
        <f t="shared" si="0"/>
        <v>0</v>
      </c>
      <c r="M16" s="725">
        <f t="shared" ca="1" si="0"/>
        <v>0</v>
      </c>
      <c r="N16" s="725">
        <f t="shared" si="0"/>
        <v>0</v>
      </c>
      <c r="O16" s="725">
        <f t="shared" ca="1" si="0"/>
        <v>23711.762586990015</v>
      </c>
      <c r="P16" s="725">
        <f t="shared" si="0"/>
        <v>297.0333333333333</v>
      </c>
      <c r="Q16" s="725">
        <f t="shared" si="0"/>
        <v>800.80000000000007</v>
      </c>
      <c r="R16" s="725">
        <f t="shared" ca="1" si="0"/>
        <v>203804.41912751622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713.9303775887762</v>
      </c>
      <c r="I19" s="690">
        <f>transport!H54</f>
        <v>0</v>
      </c>
      <c r="J19" s="690">
        <f>transport!I54</f>
        <v>0</v>
      </c>
      <c r="K19" s="690">
        <f>transport!J54</f>
        <v>0</v>
      </c>
      <c r="L19" s="690">
        <f>transport!K54</f>
        <v>0</v>
      </c>
      <c r="M19" s="690">
        <f>transport!L54</f>
        <v>0</v>
      </c>
      <c r="N19" s="690">
        <f>transport!M54</f>
        <v>31.750230105376449</v>
      </c>
      <c r="O19" s="690">
        <f>transport!N54</f>
        <v>0</v>
      </c>
      <c r="P19" s="690">
        <f>transport!O54</f>
        <v>0</v>
      </c>
      <c r="Q19" s="691">
        <f>transport!P54</f>
        <v>0</v>
      </c>
      <c r="R19" s="693">
        <f>SUM(C19:Q19)</f>
        <v>745.68060769415263</v>
      </c>
      <c r="S19" s="67"/>
    </row>
    <row r="20" spans="1:19" s="458" customFormat="1">
      <c r="A20" s="805" t="s">
        <v>307</v>
      </c>
      <c r="B20" s="810"/>
      <c r="C20" s="690">
        <f>transport!B14</f>
        <v>10.272685571837528</v>
      </c>
      <c r="D20" s="690">
        <f>transport!C14</f>
        <v>0</v>
      </c>
      <c r="E20" s="690">
        <f>transport!D14</f>
        <v>15.375085809980471</v>
      </c>
      <c r="F20" s="690">
        <f>transport!E14</f>
        <v>535.87439925630588</v>
      </c>
      <c r="G20" s="690">
        <f>transport!F14</f>
        <v>0</v>
      </c>
      <c r="H20" s="690">
        <f>transport!G14</f>
        <v>156513.03648584354</v>
      </c>
      <c r="I20" s="690">
        <f>transport!H14</f>
        <v>23674.649794632678</v>
      </c>
      <c r="J20" s="690">
        <f>transport!I14</f>
        <v>0</v>
      </c>
      <c r="K20" s="690">
        <f>transport!J14</f>
        <v>0</v>
      </c>
      <c r="L20" s="690">
        <f>transport!K14</f>
        <v>0</v>
      </c>
      <c r="M20" s="690">
        <f>transport!L14</f>
        <v>0</v>
      </c>
      <c r="N20" s="690">
        <f>transport!M14</f>
        <v>8143.2278294233447</v>
      </c>
      <c r="O20" s="690">
        <f>transport!N14</f>
        <v>0</v>
      </c>
      <c r="P20" s="690">
        <f>transport!O14</f>
        <v>0</v>
      </c>
      <c r="Q20" s="691">
        <f>transport!P14</f>
        <v>0</v>
      </c>
      <c r="R20" s="693">
        <f>SUM(C20:Q20)</f>
        <v>188892.43628053769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10.272685571837528</v>
      </c>
      <c r="D22" s="808">
        <f t="shared" ref="D22:R22" si="1">SUM(D18:D21)</f>
        <v>0</v>
      </c>
      <c r="E22" s="808">
        <f t="shared" si="1"/>
        <v>15.375085809980471</v>
      </c>
      <c r="F22" s="808">
        <f t="shared" si="1"/>
        <v>535.87439925630588</v>
      </c>
      <c r="G22" s="808">
        <f t="shared" si="1"/>
        <v>0</v>
      </c>
      <c r="H22" s="808">
        <f t="shared" si="1"/>
        <v>157226.96686343232</v>
      </c>
      <c r="I22" s="808">
        <f t="shared" si="1"/>
        <v>23674.649794632678</v>
      </c>
      <c r="J22" s="808">
        <f t="shared" si="1"/>
        <v>0</v>
      </c>
      <c r="K22" s="808">
        <f t="shared" si="1"/>
        <v>0</v>
      </c>
      <c r="L22" s="808">
        <f t="shared" si="1"/>
        <v>0</v>
      </c>
      <c r="M22" s="808">
        <f t="shared" si="1"/>
        <v>0</v>
      </c>
      <c r="N22" s="808">
        <f t="shared" si="1"/>
        <v>8174.9780595287211</v>
      </c>
      <c r="O22" s="808">
        <f t="shared" si="1"/>
        <v>0</v>
      </c>
      <c r="P22" s="808">
        <f t="shared" si="1"/>
        <v>0</v>
      </c>
      <c r="Q22" s="808">
        <f t="shared" si="1"/>
        <v>0</v>
      </c>
      <c r="R22" s="808">
        <f t="shared" si="1"/>
        <v>189638.11688823183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957.678</v>
      </c>
      <c r="D24" s="690">
        <f>+landbouw!C8</f>
        <v>0</v>
      </c>
      <c r="E24" s="690">
        <f>+landbouw!D8</f>
        <v>4602.0301580000005</v>
      </c>
      <c r="F24" s="690">
        <f>+landbouw!E8</f>
        <v>12.067976540108749</v>
      </c>
      <c r="G24" s="690">
        <f>+landbouw!F8</f>
        <v>3304.2290126743701</v>
      </c>
      <c r="H24" s="690">
        <f>+landbouw!G8</f>
        <v>0</v>
      </c>
      <c r="I24" s="690">
        <f>+landbouw!H8</f>
        <v>0</v>
      </c>
      <c r="J24" s="690">
        <f>+landbouw!I8</f>
        <v>0</v>
      </c>
      <c r="K24" s="690">
        <f>+landbouw!J8</f>
        <v>144.02388470071631</v>
      </c>
      <c r="L24" s="690">
        <f>+landbouw!K8</f>
        <v>0</v>
      </c>
      <c r="M24" s="690">
        <f>+landbouw!L8</f>
        <v>0</v>
      </c>
      <c r="N24" s="690">
        <f>+landbouw!M8</f>
        <v>0</v>
      </c>
      <c r="O24" s="690">
        <f>+landbouw!N8</f>
        <v>0</v>
      </c>
      <c r="P24" s="690">
        <f>+landbouw!O8</f>
        <v>0</v>
      </c>
      <c r="Q24" s="691">
        <f>+landbouw!P8</f>
        <v>0</v>
      </c>
      <c r="R24" s="693">
        <f>SUM(C24:Q24)</f>
        <v>9020.0290319151973</v>
      </c>
      <c r="S24" s="67"/>
    </row>
    <row r="25" spans="1:19" s="458" customFormat="1" ht="15" thickBot="1">
      <c r="A25" s="827" t="s">
        <v>872</v>
      </c>
      <c r="B25" s="1004"/>
      <c r="C25" s="1005">
        <f>IF(Onbekend_ele_kWh="---",0,Onbekend_ele_kWh)/1000+IF(REST_rest_ele_kWh="---",0,REST_rest_ele_kWh)/1000</f>
        <v>602.03</v>
      </c>
      <c r="D25" s="1005"/>
      <c r="E25" s="1005">
        <f>IF(onbekend_gas_kWh="---",0,onbekend_gas_kWh)/1000+IF(REST_rest_gas_kWh="---",0,REST_rest_gas_kWh)/1000</f>
        <v>1571.845</v>
      </c>
      <c r="F25" s="1005"/>
      <c r="G25" s="1005"/>
      <c r="H25" s="1005"/>
      <c r="I25" s="1005"/>
      <c r="J25" s="1005"/>
      <c r="K25" s="1005"/>
      <c r="L25" s="1005"/>
      <c r="M25" s="1005"/>
      <c r="N25" s="1005"/>
      <c r="O25" s="1005"/>
      <c r="P25" s="1005"/>
      <c r="Q25" s="1006"/>
      <c r="R25" s="693">
        <f>SUM(C25:Q25)</f>
        <v>2173.875</v>
      </c>
      <c r="S25" s="67"/>
    </row>
    <row r="26" spans="1:19" s="458" customFormat="1" ht="15.75" thickBot="1">
      <c r="A26" s="698" t="s">
        <v>873</v>
      </c>
      <c r="B26" s="813"/>
      <c r="C26" s="808">
        <f>SUM(C24:C25)</f>
        <v>1559.7080000000001</v>
      </c>
      <c r="D26" s="808">
        <f t="shared" ref="D26:R26" si="2">SUM(D24:D25)</f>
        <v>0</v>
      </c>
      <c r="E26" s="808">
        <f t="shared" si="2"/>
        <v>6173.8751580000007</v>
      </c>
      <c r="F26" s="808">
        <f t="shared" si="2"/>
        <v>12.067976540108749</v>
      </c>
      <c r="G26" s="808">
        <f t="shared" si="2"/>
        <v>3304.2290126743701</v>
      </c>
      <c r="H26" s="808">
        <f t="shared" si="2"/>
        <v>0</v>
      </c>
      <c r="I26" s="808">
        <f t="shared" si="2"/>
        <v>0</v>
      </c>
      <c r="J26" s="808">
        <f t="shared" si="2"/>
        <v>0</v>
      </c>
      <c r="K26" s="808">
        <f t="shared" si="2"/>
        <v>144.02388470071631</v>
      </c>
      <c r="L26" s="808">
        <f t="shared" si="2"/>
        <v>0</v>
      </c>
      <c r="M26" s="808">
        <f t="shared" si="2"/>
        <v>0</v>
      </c>
      <c r="N26" s="808">
        <f t="shared" si="2"/>
        <v>0</v>
      </c>
      <c r="O26" s="808">
        <f t="shared" si="2"/>
        <v>0</v>
      </c>
      <c r="P26" s="808">
        <f t="shared" si="2"/>
        <v>0</v>
      </c>
      <c r="Q26" s="808">
        <f t="shared" si="2"/>
        <v>0</v>
      </c>
      <c r="R26" s="808">
        <f t="shared" si="2"/>
        <v>11193.904031915197</v>
      </c>
      <c r="S26" s="67"/>
    </row>
    <row r="27" spans="1:19" s="458" customFormat="1" ht="17.25" thickTop="1" thickBot="1">
      <c r="A27" s="699" t="s">
        <v>116</v>
      </c>
      <c r="B27" s="800"/>
      <c r="C27" s="700">
        <f ca="1">C22+C16+C26</f>
        <v>49182.29468557184</v>
      </c>
      <c r="D27" s="700">
        <f t="shared" ref="D27:R27" ca="1" si="3">D22+D16+D26</f>
        <v>0</v>
      </c>
      <c r="E27" s="700">
        <f t="shared" ca="1" si="3"/>
        <v>68837.678283809975</v>
      </c>
      <c r="F27" s="700">
        <f t="shared" si="3"/>
        <v>7472.7745085306879</v>
      </c>
      <c r="G27" s="700">
        <f t="shared" ca="1" si="3"/>
        <v>65112.217576799718</v>
      </c>
      <c r="H27" s="700">
        <f t="shared" si="3"/>
        <v>157226.96686343232</v>
      </c>
      <c r="I27" s="700">
        <f t="shared" si="3"/>
        <v>23674.649794632678</v>
      </c>
      <c r="J27" s="700">
        <f t="shared" si="3"/>
        <v>0</v>
      </c>
      <c r="K27" s="700">
        <f t="shared" si="3"/>
        <v>145.28435503393644</v>
      </c>
      <c r="L27" s="700">
        <f t="shared" si="3"/>
        <v>0</v>
      </c>
      <c r="M27" s="700">
        <f t="shared" ca="1" si="3"/>
        <v>0</v>
      </c>
      <c r="N27" s="700">
        <f t="shared" si="3"/>
        <v>8174.9780595287211</v>
      </c>
      <c r="O27" s="700">
        <f t="shared" ca="1" si="3"/>
        <v>23711.762586990015</v>
      </c>
      <c r="P27" s="700">
        <f t="shared" si="3"/>
        <v>297.0333333333333</v>
      </c>
      <c r="Q27" s="700">
        <f t="shared" si="3"/>
        <v>800.80000000000007</v>
      </c>
      <c r="R27" s="700">
        <f t="shared" ca="1" si="3"/>
        <v>404636.44004766323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3391.0964722438544</v>
      </c>
      <c r="D40" s="690">
        <f ca="1">tertiair!C20</f>
        <v>0</v>
      </c>
      <c r="E40" s="690">
        <f ca="1">tertiair!D20</f>
        <v>2555.7603850680002</v>
      </c>
      <c r="F40" s="690">
        <f>tertiair!E20</f>
        <v>57.567480158981553</v>
      </c>
      <c r="G40" s="690">
        <f ca="1">tertiair!F20</f>
        <v>936.7597739450465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6941.1841114158824</v>
      </c>
    </row>
    <row r="41" spans="1:18">
      <c r="A41" s="818" t="s">
        <v>225</v>
      </c>
      <c r="B41" s="825"/>
      <c r="C41" s="690">
        <f ca="1">huishoudens!B12</f>
        <v>5168.4370092694171</v>
      </c>
      <c r="D41" s="690">
        <f ca="1">huishoudens!C12</f>
        <v>0</v>
      </c>
      <c r="E41" s="690">
        <f>huishoudens!D12</f>
        <v>9831.6440261600019</v>
      </c>
      <c r="F41" s="690">
        <f>huishoudens!E12</f>
        <v>1440.9668043649356</v>
      </c>
      <c r="G41" s="690">
        <f>huishoudens!F12</f>
        <v>15135.729653261022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31576.777493055379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388.721220371372</v>
      </c>
      <c r="D43" s="690">
        <f ca="1">industrie!C22</f>
        <v>0</v>
      </c>
      <c r="E43" s="690">
        <f>industrie!D22</f>
        <v>267.57805285200004</v>
      </c>
      <c r="F43" s="690">
        <f>industrie!E22</f>
        <v>73.402609606762937</v>
      </c>
      <c r="G43" s="690">
        <f>industrie!F22</f>
        <v>430.24351941539965</v>
      </c>
      <c r="H43" s="690">
        <f>industrie!G22</f>
        <v>0</v>
      </c>
      <c r="I43" s="690">
        <f>industrie!H22</f>
        <v>0</v>
      </c>
      <c r="J43" s="690">
        <f>industrie!I22</f>
        <v>0</v>
      </c>
      <c r="K43" s="690">
        <f>industrie!J22</f>
        <v>0.4462064979599259</v>
      </c>
      <c r="L43" s="690">
        <f>industrie!K22</f>
        <v>0</v>
      </c>
      <c r="M43" s="690">
        <f>industrie!L22</f>
        <v>0</v>
      </c>
      <c r="N43" s="690">
        <f>industrie!M22</f>
        <v>0</v>
      </c>
      <c r="O43" s="690">
        <f>industrie!N22</f>
        <v>0</v>
      </c>
      <c r="P43" s="690">
        <f>industrie!O22</f>
        <v>0</v>
      </c>
      <c r="Q43" s="767">
        <f>industrie!P22</f>
        <v>0</v>
      </c>
      <c r="R43" s="845">
        <f t="shared" ca="1" si="4"/>
        <v>1160.3916087434945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8948.2547018846435</v>
      </c>
      <c r="D46" s="725">
        <f t="shared" ref="D46:Q46" ca="1" si="5">SUM(D39:D45)</f>
        <v>0</v>
      </c>
      <c r="E46" s="725">
        <f t="shared" ca="1" si="5"/>
        <v>12654.982464080003</v>
      </c>
      <c r="F46" s="725">
        <f t="shared" si="5"/>
        <v>1571.9368941306802</v>
      </c>
      <c r="G46" s="725">
        <f t="shared" ca="1" si="5"/>
        <v>16502.732946621469</v>
      </c>
      <c r="H46" s="725">
        <f t="shared" si="5"/>
        <v>0</v>
      </c>
      <c r="I46" s="725">
        <f t="shared" si="5"/>
        <v>0</v>
      </c>
      <c r="J46" s="725">
        <f t="shared" si="5"/>
        <v>0</v>
      </c>
      <c r="K46" s="725">
        <f t="shared" si="5"/>
        <v>0.4462064979599259</v>
      </c>
      <c r="L46" s="725">
        <f t="shared" si="5"/>
        <v>0</v>
      </c>
      <c r="M46" s="725">
        <f t="shared" ca="1" si="5"/>
        <v>0</v>
      </c>
      <c r="N46" s="725">
        <f t="shared" si="5"/>
        <v>0</v>
      </c>
      <c r="O46" s="725">
        <f t="shared" ca="1" si="5"/>
        <v>0</v>
      </c>
      <c r="P46" s="725">
        <f t="shared" si="5"/>
        <v>0</v>
      </c>
      <c r="Q46" s="725">
        <f t="shared" si="5"/>
        <v>0</v>
      </c>
      <c r="R46" s="725">
        <f ca="1">SUM(R39:R45)</f>
        <v>39678.353213214752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190.61941081620324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190.61941081620324</v>
      </c>
    </row>
    <row r="50" spans="1:18">
      <c r="A50" s="821" t="s">
        <v>307</v>
      </c>
      <c r="B50" s="831"/>
      <c r="C50" s="696">
        <f ca="1">transport!B18</f>
        <v>1.930647751528684</v>
      </c>
      <c r="D50" s="696">
        <f>transport!C18</f>
        <v>0</v>
      </c>
      <c r="E50" s="696">
        <f>transport!D18</f>
        <v>3.1057673336160554</v>
      </c>
      <c r="F50" s="696">
        <f>transport!E18</f>
        <v>121.64348863118144</v>
      </c>
      <c r="G50" s="696">
        <f>transport!F18</f>
        <v>0</v>
      </c>
      <c r="H50" s="696">
        <f>transport!G18</f>
        <v>41788.980741720225</v>
      </c>
      <c r="I50" s="696">
        <f>transport!H18</f>
        <v>5894.9877988635371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47810.648444300088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1.930647751528684</v>
      </c>
      <c r="D52" s="725">
        <f t="shared" ref="D52:Q52" ca="1" si="6">SUM(D48:D51)</f>
        <v>0</v>
      </c>
      <c r="E52" s="725">
        <f t="shared" si="6"/>
        <v>3.1057673336160554</v>
      </c>
      <c r="F52" s="725">
        <f t="shared" si="6"/>
        <v>121.64348863118144</v>
      </c>
      <c r="G52" s="725">
        <f t="shared" si="6"/>
        <v>0</v>
      </c>
      <c r="H52" s="725">
        <f t="shared" si="6"/>
        <v>41979.600152536426</v>
      </c>
      <c r="I52" s="725">
        <f t="shared" si="6"/>
        <v>5894.9877988635371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48001.26785511629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179.98593108479207</v>
      </c>
      <c r="D54" s="696">
        <f ca="1">+landbouw!C12</f>
        <v>0</v>
      </c>
      <c r="E54" s="696">
        <f>+landbouw!D12</f>
        <v>929.6100919160001</v>
      </c>
      <c r="F54" s="696">
        <f>+landbouw!E12</f>
        <v>2.7394306746046859</v>
      </c>
      <c r="G54" s="696">
        <f>+landbouw!F12</f>
        <v>882.22914638405689</v>
      </c>
      <c r="H54" s="696">
        <f>+landbouw!G12</f>
        <v>0</v>
      </c>
      <c r="I54" s="696">
        <f>+landbouw!H12</f>
        <v>0</v>
      </c>
      <c r="J54" s="696">
        <f>+landbouw!I12</f>
        <v>0</v>
      </c>
      <c r="K54" s="696">
        <f>+landbouw!J12</f>
        <v>50.984455184053573</v>
      </c>
      <c r="L54" s="696">
        <f>+landbouw!K12</f>
        <v>0</v>
      </c>
      <c r="M54" s="696">
        <f>+landbouw!L12</f>
        <v>0</v>
      </c>
      <c r="N54" s="696">
        <f>+landbouw!M12</f>
        <v>0</v>
      </c>
      <c r="O54" s="696">
        <f>+landbouw!N12</f>
        <v>0</v>
      </c>
      <c r="P54" s="696">
        <f>+landbouw!O12</f>
        <v>0</v>
      </c>
      <c r="Q54" s="697">
        <f>+landbouw!P12</f>
        <v>0</v>
      </c>
      <c r="R54" s="724">
        <f ca="1">SUM(C54:Q54)</f>
        <v>2045.5490552435074</v>
      </c>
    </row>
    <row r="55" spans="1:18" ht="15" thickBot="1">
      <c r="A55" s="821" t="s">
        <v>872</v>
      </c>
      <c r="B55" s="831"/>
      <c r="C55" s="696">
        <f ca="1">C25*'EF ele_warmte'!B12</f>
        <v>113.14547279041324</v>
      </c>
      <c r="D55" s="696"/>
      <c r="E55" s="696">
        <f>E25*EF_CO2_aardgas</f>
        <v>317.51269000000002</v>
      </c>
      <c r="F55" s="696"/>
      <c r="G55" s="696"/>
      <c r="H55" s="696"/>
      <c r="I55" s="696"/>
      <c r="J55" s="696"/>
      <c r="K55" s="696"/>
      <c r="L55" s="696"/>
      <c r="M55" s="696"/>
      <c r="N55" s="696"/>
      <c r="O55" s="696"/>
      <c r="P55" s="696"/>
      <c r="Q55" s="697"/>
      <c r="R55" s="724">
        <f ca="1">SUM(C55:Q55)</f>
        <v>430.65816279041326</v>
      </c>
    </row>
    <row r="56" spans="1:18" ht="15.75" thickBot="1">
      <c r="A56" s="819" t="s">
        <v>873</v>
      </c>
      <c r="B56" s="832"/>
      <c r="C56" s="725">
        <f ca="1">SUM(C54:C55)</f>
        <v>293.13140387520531</v>
      </c>
      <c r="D56" s="725">
        <f t="shared" ref="D56:Q56" ca="1" si="7">SUM(D54:D55)</f>
        <v>0</v>
      </c>
      <c r="E56" s="725">
        <f t="shared" si="7"/>
        <v>1247.1227819160001</v>
      </c>
      <c r="F56" s="725">
        <f t="shared" si="7"/>
        <v>2.7394306746046859</v>
      </c>
      <c r="G56" s="725">
        <f t="shared" si="7"/>
        <v>882.22914638405689</v>
      </c>
      <c r="H56" s="725">
        <f t="shared" si="7"/>
        <v>0</v>
      </c>
      <c r="I56" s="725">
        <f t="shared" si="7"/>
        <v>0</v>
      </c>
      <c r="J56" s="725">
        <f t="shared" si="7"/>
        <v>0</v>
      </c>
      <c r="K56" s="725">
        <f t="shared" si="7"/>
        <v>50.984455184053573</v>
      </c>
      <c r="L56" s="725">
        <f t="shared" si="7"/>
        <v>0</v>
      </c>
      <c r="M56" s="725">
        <f t="shared" si="7"/>
        <v>0</v>
      </c>
      <c r="N56" s="725">
        <f t="shared" si="7"/>
        <v>0</v>
      </c>
      <c r="O56" s="725">
        <f t="shared" si="7"/>
        <v>0</v>
      </c>
      <c r="P56" s="725">
        <f t="shared" si="7"/>
        <v>0</v>
      </c>
      <c r="Q56" s="726">
        <f t="shared" si="7"/>
        <v>0</v>
      </c>
      <c r="R56" s="727">
        <f ca="1">SUM(R54:R55)</f>
        <v>2476.2072180339205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9243.3167535113789</v>
      </c>
      <c r="D61" s="733">
        <f t="shared" ref="D61:Q61" ca="1" si="8">D46+D52+D56</f>
        <v>0</v>
      </c>
      <c r="E61" s="733">
        <f t="shared" ca="1" si="8"/>
        <v>13905.211013329619</v>
      </c>
      <c r="F61" s="733">
        <f t="shared" si="8"/>
        <v>1696.3198134364663</v>
      </c>
      <c r="G61" s="733">
        <f t="shared" ca="1" si="8"/>
        <v>17384.962093005524</v>
      </c>
      <c r="H61" s="733">
        <f t="shared" si="8"/>
        <v>41979.600152536426</v>
      </c>
      <c r="I61" s="733">
        <f t="shared" si="8"/>
        <v>5894.9877988635371</v>
      </c>
      <c r="J61" s="733">
        <f t="shared" si="8"/>
        <v>0</v>
      </c>
      <c r="K61" s="733">
        <f t="shared" si="8"/>
        <v>51.430661682013501</v>
      </c>
      <c r="L61" s="733">
        <f t="shared" si="8"/>
        <v>0</v>
      </c>
      <c r="M61" s="733">
        <f t="shared" ca="1" si="8"/>
        <v>0</v>
      </c>
      <c r="N61" s="733">
        <f t="shared" si="8"/>
        <v>0</v>
      </c>
      <c r="O61" s="733">
        <f t="shared" ca="1" si="8"/>
        <v>0</v>
      </c>
      <c r="P61" s="733">
        <f t="shared" si="8"/>
        <v>0</v>
      </c>
      <c r="Q61" s="733">
        <f t="shared" si="8"/>
        <v>0</v>
      </c>
      <c r="R61" s="733">
        <f ca="1">R46+R52+R56</f>
        <v>90155.828286364951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0.18793992457255163</v>
      </c>
      <c r="D63" s="776">
        <f t="shared" ca="1" si="9"/>
        <v>0</v>
      </c>
      <c r="E63" s="1011">
        <f t="shared" ca="1" si="9"/>
        <v>0.20200000000000007</v>
      </c>
      <c r="F63" s="776">
        <f t="shared" si="9"/>
        <v>0.22700000000000004</v>
      </c>
      <c r="G63" s="776">
        <f t="shared" ca="1" si="9"/>
        <v>0.26700000000000002</v>
      </c>
      <c r="H63" s="776">
        <f t="shared" si="9"/>
        <v>0.26699999999999996</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7357.3320000000003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7357.3320000000003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7357.3320000000003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7357.3320000000003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27500.474000000002</v>
      </c>
      <c r="C4" s="462">
        <f>huishoudens!C8</f>
        <v>0</v>
      </c>
      <c r="D4" s="462">
        <f>huishoudens!D8</f>
        <v>48671.505080000003</v>
      </c>
      <c r="E4" s="462">
        <f>huishoudens!E8</f>
        <v>6347.871384867557</v>
      </c>
      <c r="F4" s="462">
        <f>huishoudens!F8</f>
        <v>56688.126042176111</v>
      </c>
      <c r="G4" s="462">
        <f>huishoudens!G8</f>
        <v>0</v>
      </c>
      <c r="H4" s="462">
        <f>huishoudens!H8</f>
        <v>0</v>
      </c>
      <c r="I4" s="462">
        <f>huishoudens!I8</f>
        <v>0</v>
      </c>
      <c r="J4" s="462">
        <f>huishoudens!J8</f>
        <v>0</v>
      </c>
      <c r="K4" s="462">
        <f>huishoudens!K8</f>
        <v>0</v>
      </c>
      <c r="L4" s="462">
        <f>huishoudens!L8</f>
        <v>0</v>
      </c>
      <c r="M4" s="462">
        <f>huishoudens!M8</f>
        <v>0</v>
      </c>
      <c r="N4" s="462">
        <f>huishoudens!N8</f>
        <v>20997.978348938737</v>
      </c>
      <c r="O4" s="462">
        <f>huishoudens!O8</f>
        <v>292.34333333333331</v>
      </c>
      <c r="P4" s="463">
        <f>huishoudens!P8</f>
        <v>781.73333333333335</v>
      </c>
      <c r="Q4" s="464">
        <f>SUM(B4:P4)</f>
        <v>161280.03152264908</v>
      </c>
    </row>
    <row r="5" spans="1:17">
      <c r="A5" s="461" t="s">
        <v>156</v>
      </c>
      <c r="B5" s="462">
        <f ca="1">tertiair!B16</f>
        <v>17154.63</v>
      </c>
      <c r="C5" s="462">
        <f ca="1">tertiair!C16</f>
        <v>0</v>
      </c>
      <c r="D5" s="462">
        <f ca="1">tertiair!D16</f>
        <v>12652.279134</v>
      </c>
      <c r="E5" s="462">
        <f>tertiair!E16</f>
        <v>253.60123418053547</v>
      </c>
      <c r="F5" s="462">
        <f ca="1">tertiair!F16</f>
        <v>3508.4635728278895</v>
      </c>
      <c r="G5" s="462">
        <f>tertiair!G16</f>
        <v>0</v>
      </c>
      <c r="H5" s="462">
        <f>tertiair!H16</f>
        <v>0</v>
      </c>
      <c r="I5" s="462">
        <f>tertiair!I16</f>
        <v>0</v>
      </c>
      <c r="J5" s="462">
        <f>tertiair!J16</f>
        <v>0</v>
      </c>
      <c r="K5" s="462">
        <f>tertiair!K16</f>
        <v>0</v>
      </c>
      <c r="L5" s="462">
        <f ca="1">tertiair!L16</f>
        <v>0</v>
      </c>
      <c r="M5" s="462">
        <f>tertiair!M16</f>
        <v>0</v>
      </c>
      <c r="N5" s="462">
        <f ca="1">tertiair!N16</f>
        <v>1963.782004661269</v>
      </c>
      <c r="O5" s="462">
        <f>tertiair!O16</f>
        <v>4.6900000000000004</v>
      </c>
      <c r="P5" s="463">
        <f>tertiair!P16</f>
        <v>19.066666666666666</v>
      </c>
      <c r="Q5" s="461">
        <f t="shared" ref="Q5:Q14" ca="1" si="0">SUM(B5:P5)</f>
        <v>35556.512612336366</v>
      </c>
    </row>
    <row r="6" spans="1:17">
      <c r="A6" s="461" t="s">
        <v>194</v>
      </c>
      <c r="B6" s="462">
        <f>'openbare verlichting'!B8</f>
        <v>888.88300000000004</v>
      </c>
      <c r="C6" s="462"/>
      <c r="D6" s="462"/>
      <c r="E6" s="462"/>
      <c r="F6" s="462"/>
      <c r="G6" s="462"/>
      <c r="H6" s="462"/>
      <c r="I6" s="462"/>
      <c r="J6" s="462"/>
      <c r="K6" s="462"/>
      <c r="L6" s="462"/>
      <c r="M6" s="462"/>
      <c r="N6" s="462"/>
      <c r="O6" s="462"/>
      <c r="P6" s="463"/>
      <c r="Q6" s="461">
        <f t="shared" si="0"/>
        <v>888.88300000000004</v>
      </c>
    </row>
    <row r="7" spans="1:17">
      <c r="A7" s="461" t="s">
        <v>112</v>
      </c>
      <c r="B7" s="462">
        <f>landbouw!B8</f>
        <v>957.678</v>
      </c>
      <c r="C7" s="462">
        <f>landbouw!C8</f>
        <v>0</v>
      </c>
      <c r="D7" s="462">
        <f>landbouw!D8</f>
        <v>4602.0301580000005</v>
      </c>
      <c r="E7" s="462">
        <f>landbouw!E8</f>
        <v>12.067976540108749</v>
      </c>
      <c r="F7" s="462">
        <f>landbouw!F8</f>
        <v>3304.2290126743701</v>
      </c>
      <c r="G7" s="462">
        <f>landbouw!G8</f>
        <v>0</v>
      </c>
      <c r="H7" s="462">
        <f>landbouw!H8</f>
        <v>0</v>
      </c>
      <c r="I7" s="462">
        <f>landbouw!I8</f>
        <v>0</v>
      </c>
      <c r="J7" s="462">
        <f>landbouw!J8</f>
        <v>144.02388470071631</v>
      </c>
      <c r="K7" s="462">
        <f>landbouw!K8</f>
        <v>0</v>
      </c>
      <c r="L7" s="462">
        <f>landbouw!L8</f>
        <v>0</v>
      </c>
      <c r="M7" s="462">
        <f>landbouw!M8</f>
        <v>0</v>
      </c>
      <c r="N7" s="462">
        <f>landbouw!N8</f>
        <v>0</v>
      </c>
      <c r="O7" s="462">
        <f>landbouw!O8</f>
        <v>0</v>
      </c>
      <c r="P7" s="463">
        <f>landbouw!P8</f>
        <v>0</v>
      </c>
      <c r="Q7" s="461">
        <f t="shared" si="0"/>
        <v>9020.0290319151973</v>
      </c>
    </row>
    <row r="8" spans="1:17">
      <c r="A8" s="461" t="s">
        <v>657</v>
      </c>
      <c r="B8" s="462">
        <f>industrie!B18</f>
        <v>2068.3270000000002</v>
      </c>
      <c r="C8" s="462">
        <f>industrie!C18</f>
        <v>0</v>
      </c>
      <c r="D8" s="462">
        <f>industrie!D18</f>
        <v>1324.643826</v>
      </c>
      <c r="E8" s="462">
        <f>industrie!E18</f>
        <v>323.35951368618032</v>
      </c>
      <c r="F8" s="462">
        <f>industrie!F18</f>
        <v>1611.398949121347</v>
      </c>
      <c r="G8" s="462">
        <f>industrie!G18</f>
        <v>0</v>
      </c>
      <c r="H8" s="462">
        <f>industrie!H18</f>
        <v>0</v>
      </c>
      <c r="I8" s="462">
        <f>industrie!I18</f>
        <v>0</v>
      </c>
      <c r="J8" s="462">
        <f>industrie!J18</f>
        <v>1.2604703332201297</v>
      </c>
      <c r="K8" s="462">
        <f>industrie!K18</f>
        <v>0</v>
      </c>
      <c r="L8" s="462">
        <f>industrie!L18</f>
        <v>0</v>
      </c>
      <c r="M8" s="462">
        <f>industrie!M18</f>
        <v>0</v>
      </c>
      <c r="N8" s="462">
        <f>industrie!N18</f>
        <v>750.00223339000763</v>
      </c>
      <c r="O8" s="462">
        <f>industrie!O18</f>
        <v>0</v>
      </c>
      <c r="P8" s="463">
        <f>industrie!P18</f>
        <v>0</v>
      </c>
      <c r="Q8" s="461">
        <f t="shared" si="0"/>
        <v>6078.9919925307559</v>
      </c>
    </row>
    <row r="9" spans="1:17" s="467" customFormat="1">
      <c r="A9" s="465" t="s">
        <v>574</v>
      </c>
      <c r="B9" s="466">
        <f>transport!B14</f>
        <v>10.272685571837528</v>
      </c>
      <c r="C9" s="466">
        <f>transport!C14</f>
        <v>0</v>
      </c>
      <c r="D9" s="466">
        <f>transport!D14</f>
        <v>15.375085809980471</v>
      </c>
      <c r="E9" s="466">
        <f>transport!E14</f>
        <v>535.87439925630588</v>
      </c>
      <c r="F9" s="466">
        <f>transport!F14</f>
        <v>0</v>
      </c>
      <c r="G9" s="466">
        <f>transport!G14</f>
        <v>156513.03648584354</v>
      </c>
      <c r="H9" s="466">
        <f>transport!H14</f>
        <v>23674.649794632678</v>
      </c>
      <c r="I9" s="466">
        <f>transport!I14</f>
        <v>0</v>
      </c>
      <c r="J9" s="466">
        <f>transport!J14</f>
        <v>0</v>
      </c>
      <c r="K9" s="466">
        <f>transport!K14</f>
        <v>0</v>
      </c>
      <c r="L9" s="466">
        <f>transport!L14</f>
        <v>0</v>
      </c>
      <c r="M9" s="466">
        <f>transport!M14</f>
        <v>8143.2278294233447</v>
      </c>
      <c r="N9" s="466">
        <f>transport!N14</f>
        <v>0</v>
      </c>
      <c r="O9" s="466">
        <f>transport!O14</f>
        <v>0</v>
      </c>
      <c r="P9" s="466">
        <f>transport!P14</f>
        <v>0</v>
      </c>
      <c r="Q9" s="465">
        <f>SUM(B9:P9)</f>
        <v>188892.43628053769</v>
      </c>
    </row>
    <row r="10" spans="1:17">
      <c r="A10" s="461" t="s">
        <v>564</v>
      </c>
      <c r="B10" s="462">
        <f>transport!B54</f>
        <v>0</v>
      </c>
      <c r="C10" s="462">
        <f>transport!C54</f>
        <v>0</v>
      </c>
      <c r="D10" s="462">
        <f>transport!D54</f>
        <v>0</v>
      </c>
      <c r="E10" s="462">
        <f>transport!E54</f>
        <v>0</v>
      </c>
      <c r="F10" s="462">
        <f>transport!F54</f>
        <v>0</v>
      </c>
      <c r="G10" s="462">
        <f>transport!G54</f>
        <v>713.9303775887762</v>
      </c>
      <c r="H10" s="462">
        <f>transport!H54</f>
        <v>0</v>
      </c>
      <c r="I10" s="462">
        <f>transport!I54</f>
        <v>0</v>
      </c>
      <c r="J10" s="462">
        <f>transport!J54</f>
        <v>0</v>
      </c>
      <c r="K10" s="462">
        <f>transport!K54</f>
        <v>0</v>
      </c>
      <c r="L10" s="462">
        <f>transport!L54</f>
        <v>0</v>
      </c>
      <c r="M10" s="462">
        <f>transport!M54</f>
        <v>31.750230105376449</v>
      </c>
      <c r="N10" s="462">
        <f>transport!N54</f>
        <v>0</v>
      </c>
      <c r="O10" s="462">
        <f>transport!O54</f>
        <v>0</v>
      </c>
      <c r="P10" s="463">
        <f>transport!P54</f>
        <v>0</v>
      </c>
      <c r="Q10" s="461">
        <f t="shared" si="0"/>
        <v>745.68060769415263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602.03</v>
      </c>
      <c r="C14" s="469"/>
      <c r="D14" s="469">
        <f>'SEAP template'!E25</f>
        <v>1571.845</v>
      </c>
      <c r="E14" s="469"/>
      <c r="F14" s="469"/>
      <c r="G14" s="469"/>
      <c r="H14" s="469"/>
      <c r="I14" s="469"/>
      <c r="J14" s="469"/>
      <c r="K14" s="469"/>
      <c r="L14" s="469"/>
      <c r="M14" s="469"/>
      <c r="N14" s="469"/>
      <c r="O14" s="469"/>
      <c r="P14" s="470"/>
      <c r="Q14" s="461">
        <f t="shared" si="0"/>
        <v>2173.875</v>
      </c>
    </row>
    <row r="15" spans="1:17" s="474" customFormat="1">
      <c r="A15" s="471" t="s">
        <v>568</v>
      </c>
      <c r="B15" s="472">
        <f ca="1">SUM(B4:B14)</f>
        <v>49182.29468557184</v>
      </c>
      <c r="C15" s="472">
        <f t="shared" ref="C15:Q15" ca="1" si="1">SUM(C4:C14)</f>
        <v>0</v>
      </c>
      <c r="D15" s="472">
        <f t="shared" ca="1" si="1"/>
        <v>68837.678283809975</v>
      </c>
      <c r="E15" s="472">
        <f t="shared" si="1"/>
        <v>7472.7745085306879</v>
      </c>
      <c r="F15" s="472">
        <f t="shared" ca="1" si="1"/>
        <v>65112.217576799711</v>
      </c>
      <c r="G15" s="472">
        <f t="shared" si="1"/>
        <v>157226.96686343232</v>
      </c>
      <c r="H15" s="472">
        <f t="shared" si="1"/>
        <v>23674.649794632678</v>
      </c>
      <c r="I15" s="472">
        <f t="shared" si="1"/>
        <v>0</v>
      </c>
      <c r="J15" s="472">
        <f t="shared" si="1"/>
        <v>145.28435503393644</v>
      </c>
      <c r="K15" s="472">
        <f t="shared" si="1"/>
        <v>0</v>
      </c>
      <c r="L15" s="472">
        <f t="shared" ca="1" si="1"/>
        <v>0</v>
      </c>
      <c r="M15" s="472">
        <f t="shared" si="1"/>
        <v>8174.9780595287211</v>
      </c>
      <c r="N15" s="472">
        <f t="shared" ca="1" si="1"/>
        <v>23711.762586990015</v>
      </c>
      <c r="O15" s="472">
        <f t="shared" si="1"/>
        <v>297.0333333333333</v>
      </c>
      <c r="P15" s="472">
        <f t="shared" si="1"/>
        <v>800.80000000000007</v>
      </c>
      <c r="Q15" s="472">
        <f t="shared" ca="1" si="1"/>
        <v>404636.44004766323</v>
      </c>
    </row>
    <row r="17" spans="1:17">
      <c r="A17" s="475" t="s">
        <v>569</v>
      </c>
      <c r="B17" s="781">
        <f ca="1">huishoudens!B10</f>
        <v>0.1879399245725516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5168.4370092694171</v>
      </c>
      <c r="C22" s="462">
        <f t="shared" ref="C22:C32" ca="1" si="3">C4*$C$17</f>
        <v>0</v>
      </c>
      <c r="D22" s="462">
        <f t="shared" ref="D22:D32" si="4">D4*$D$17</f>
        <v>9831.6440261600019</v>
      </c>
      <c r="E22" s="462">
        <f t="shared" ref="E22:E32" si="5">E4*$E$17</f>
        <v>1440.9668043649356</v>
      </c>
      <c r="F22" s="462">
        <f t="shared" ref="F22:F32" si="6">F4*$F$17</f>
        <v>15135.729653261022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31576.777493055379</v>
      </c>
    </row>
    <row r="23" spans="1:17">
      <c r="A23" s="461" t="s">
        <v>156</v>
      </c>
      <c r="B23" s="462">
        <f t="shared" ca="1" si="2"/>
        <v>3224.0398682700311</v>
      </c>
      <c r="C23" s="462">
        <f t="shared" ca="1" si="3"/>
        <v>0</v>
      </c>
      <c r="D23" s="462">
        <f t="shared" ca="1" si="4"/>
        <v>2555.7603850680002</v>
      </c>
      <c r="E23" s="462">
        <f t="shared" si="5"/>
        <v>57.567480158981553</v>
      </c>
      <c r="F23" s="462">
        <f t="shared" ca="1" si="6"/>
        <v>936.7597739450465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6774.1275074420591</v>
      </c>
    </row>
    <row r="24" spans="1:17">
      <c r="A24" s="461" t="s">
        <v>194</v>
      </c>
      <c r="B24" s="462">
        <f t="shared" ca="1" si="2"/>
        <v>167.0566039738234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167.0566039738234</v>
      </c>
    </row>
    <row r="25" spans="1:17">
      <c r="A25" s="461" t="s">
        <v>112</v>
      </c>
      <c r="B25" s="462">
        <f t="shared" ca="1" si="2"/>
        <v>179.98593108479207</v>
      </c>
      <c r="C25" s="462">
        <f t="shared" ca="1" si="3"/>
        <v>0</v>
      </c>
      <c r="D25" s="462">
        <f t="shared" si="4"/>
        <v>929.6100919160001</v>
      </c>
      <c r="E25" s="462">
        <f t="shared" si="5"/>
        <v>2.7394306746046859</v>
      </c>
      <c r="F25" s="462">
        <f t="shared" si="6"/>
        <v>882.22914638405689</v>
      </c>
      <c r="G25" s="462">
        <f t="shared" si="7"/>
        <v>0</v>
      </c>
      <c r="H25" s="462">
        <f t="shared" si="8"/>
        <v>0</v>
      </c>
      <c r="I25" s="462">
        <f t="shared" si="9"/>
        <v>0</v>
      </c>
      <c r="J25" s="462">
        <f t="shared" si="10"/>
        <v>50.984455184053573</v>
      </c>
      <c r="K25" s="462">
        <f t="shared" si="11"/>
        <v>0</v>
      </c>
      <c r="L25" s="462">
        <f t="shared" si="12"/>
        <v>0</v>
      </c>
      <c r="M25" s="462">
        <f t="shared" si="13"/>
        <v>0</v>
      </c>
      <c r="N25" s="462">
        <f t="shared" si="14"/>
        <v>0</v>
      </c>
      <c r="O25" s="462">
        <f t="shared" si="15"/>
        <v>0</v>
      </c>
      <c r="P25" s="463">
        <f t="shared" si="16"/>
        <v>0</v>
      </c>
      <c r="Q25" s="461">
        <f t="shared" ca="1" si="17"/>
        <v>2045.5490552435074</v>
      </c>
    </row>
    <row r="26" spans="1:17">
      <c r="A26" s="461" t="s">
        <v>657</v>
      </c>
      <c r="B26" s="462">
        <f t="shared" ca="1" si="2"/>
        <v>388.721220371372</v>
      </c>
      <c r="C26" s="462">
        <f t="shared" ca="1" si="3"/>
        <v>0</v>
      </c>
      <c r="D26" s="462">
        <f t="shared" si="4"/>
        <v>267.57805285200004</v>
      </c>
      <c r="E26" s="462">
        <f t="shared" si="5"/>
        <v>73.402609606762937</v>
      </c>
      <c r="F26" s="462">
        <f t="shared" si="6"/>
        <v>430.24351941539965</v>
      </c>
      <c r="G26" s="462">
        <f t="shared" si="7"/>
        <v>0</v>
      </c>
      <c r="H26" s="462">
        <f t="shared" si="8"/>
        <v>0</v>
      </c>
      <c r="I26" s="462">
        <f t="shared" si="9"/>
        <v>0</v>
      </c>
      <c r="J26" s="462">
        <f t="shared" si="10"/>
        <v>0.4462064979599259</v>
      </c>
      <c r="K26" s="462">
        <f t="shared" si="11"/>
        <v>0</v>
      </c>
      <c r="L26" s="462">
        <f t="shared" si="12"/>
        <v>0</v>
      </c>
      <c r="M26" s="462">
        <f t="shared" si="13"/>
        <v>0</v>
      </c>
      <c r="N26" s="462">
        <f t="shared" si="14"/>
        <v>0</v>
      </c>
      <c r="O26" s="462">
        <f t="shared" si="15"/>
        <v>0</v>
      </c>
      <c r="P26" s="463">
        <f t="shared" si="16"/>
        <v>0</v>
      </c>
      <c r="Q26" s="461">
        <f t="shared" ca="1" si="17"/>
        <v>1160.3916087434945</v>
      </c>
    </row>
    <row r="27" spans="1:17" s="467" customFormat="1">
      <c r="A27" s="465" t="s">
        <v>574</v>
      </c>
      <c r="B27" s="775">
        <f t="shared" ca="1" si="2"/>
        <v>1.930647751528684</v>
      </c>
      <c r="C27" s="466">
        <f t="shared" ca="1" si="3"/>
        <v>0</v>
      </c>
      <c r="D27" s="466">
        <f t="shared" si="4"/>
        <v>3.1057673336160554</v>
      </c>
      <c r="E27" s="466">
        <f t="shared" si="5"/>
        <v>121.64348863118144</v>
      </c>
      <c r="F27" s="466">
        <f t="shared" si="6"/>
        <v>0</v>
      </c>
      <c r="G27" s="466">
        <f t="shared" si="7"/>
        <v>41788.980741720225</v>
      </c>
      <c r="H27" s="466">
        <f t="shared" si="8"/>
        <v>5894.9877988635371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47810.648444300088</v>
      </c>
    </row>
    <row r="28" spans="1:17">
      <c r="A28" s="461" t="s">
        <v>564</v>
      </c>
      <c r="B28" s="462">
        <f t="shared" ca="1" si="2"/>
        <v>0</v>
      </c>
      <c r="C28" s="462">
        <f t="shared" ca="1" si="3"/>
        <v>0</v>
      </c>
      <c r="D28" s="462">
        <f t="shared" si="4"/>
        <v>0</v>
      </c>
      <c r="E28" s="462">
        <f t="shared" si="5"/>
        <v>0</v>
      </c>
      <c r="F28" s="462">
        <f t="shared" si="6"/>
        <v>0</v>
      </c>
      <c r="G28" s="462">
        <f t="shared" si="7"/>
        <v>190.61941081620324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190.61941081620324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113.14547279041324</v>
      </c>
      <c r="C32" s="462">
        <f t="shared" ca="1" si="3"/>
        <v>0</v>
      </c>
      <c r="D32" s="462">
        <f t="shared" si="4"/>
        <v>317.51269000000002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430.65816279041326</v>
      </c>
    </row>
    <row r="33" spans="1:17" s="474" customFormat="1">
      <c r="A33" s="471" t="s">
        <v>568</v>
      </c>
      <c r="B33" s="472">
        <f ca="1">SUM(B22:B32)</f>
        <v>9243.3167535113771</v>
      </c>
      <c r="C33" s="472">
        <f t="shared" ref="C33:Q33" ca="1" si="18">SUM(C22:C32)</f>
        <v>0</v>
      </c>
      <c r="D33" s="472">
        <f t="shared" ca="1" si="18"/>
        <v>13905.211013329619</v>
      </c>
      <c r="E33" s="472">
        <f t="shared" si="18"/>
        <v>1696.3198134364663</v>
      </c>
      <c r="F33" s="472">
        <f t="shared" ca="1" si="18"/>
        <v>17384.962093005524</v>
      </c>
      <c r="G33" s="472">
        <f t="shared" si="18"/>
        <v>41979.600152536426</v>
      </c>
      <c r="H33" s="472">
        <f t="shared" si="18"/>
        <v>5894.9877988635371</v>
      </c>
      <c r="I33" s="472">
        <f t="shared" si="18"/>
        <v>0</v>
      </c>
      <c r="J33" s="472">
        <f t="shared" si="18"/>
        <v>51.430661682013501</v>
      </c>
      <c r="K33" s="472">
        <f t="shared" si="18"/>
        <v>0</v>
      </c>
      <c r="L33" s="472">
        <f t="shared" ca="1" si="18"/>
        <v>0</v>
      </c>
      <c r="M33" s="472">
        <f t="shared" si="18"/>
        <v>0</v>
      </c>
      <c r="N33" s="472">
        <f t="shared" ca="1" si="18"/>
        <v>0</v>
      </c>
      <c r="O33" s="472">
        <f t="shared" si="18"/>
        <v>0</v>
      </c>
      <c r="P33" s="472">
        <f t="shared" si="18"/>
        <v>0</v>
      </c>
      <c r="Q33" s="472">
        <f t="shared" ca="1" si="18"/>
        <v>90155.828286364966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7357.3320000000003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7357.3320000000003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0.1879399245725516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0.1879399245725516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2019-08-12T08:01:30Z</dcterms:modified>
</cp:coreProperties>
</file>