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B10" l="1"/>
  <c r="I102"/>
  <c r="H17" s="1"/>
  <c r="H20" s="1"/>
  <c r="B102"/>
  <c r="C17" s="1"/>
  <c r="C102"/>
  <c r="F102"/>
  <c r="G102"/>
  <c r="I101"/>
  <c r="H8" s="1"/>
  <c r="H10" s="1"/>
  <c r="H101"/>
  <c r="B101"/>
  <c r="C8" s="1"/>
  <c r="C10" s="1"/>
  <c r="C101"/>
  <c r="D101"/>
  <c r="F101"/>
  <c r="G101"/>
  <c r="O9"/>
  <c r="B8"/>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K20"/>
  <c r="Q52" i="14"/>
  <c r="G10" i="59"/>
  <c r="P28" i="48"/>
  <c r="Q11"/>
  <c r="O28"/>
  <c r="K78" i="14"/>
  <c r="K8" i="59"/>
  <c r="K10" s="1"/>
  <c r="E90" i="14"/>
  <c r="E18" i="59"/>
  <c r="E20" s="1"/>
  <c r="N10"/>
  <c r="D14" i="48"/>
  <c r="L10" i="59"/>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27"/>
  <c r="J29"/>
  <c r="J31"/>
  <c r="J28"/>
  <c r="J24"/>
  <c r="J30"/>
  <c r="O4"/>
  <c r="P11" i="14"/>
  <c r="E32" i="48"/>
  <c r="E31"/>
  <c r="E29"/>
  <c r="E30"/>
  <c r="E24"/>
  <c r="E28"/>
  <c r="M32"/>
  <c r="M29"/>
  <c r="M26"/>
  <c r="M25"/>
  <c r="M22"/>
  <c r="M30"/>
  <c r="M24"/>
  <c r="M23"/>
  <c r="L10" i="14"/>
  <c r="L16" s="1"/>
  <c r="L27" s="1"/>
  <c r="K5" i="48"/>
  <c r="D30"/>
  <c r="D29"/>
  <c r="D31"/>
  <c r="D28"/>
  <c r="D24"/>
  <c r="D32"/>
  <c r="L28"/>
  <c r="L29"/>
  <c r="L32"/>
  <c r="L27"/>
  <c r="L24"/>
  <c r="L22"/>
  <c r="L31"/>
  <c r="L30"/>
  <c r="P5"/>
  <c r="P23" s="1"/>
  <c r="Q10" i="14"/>
  <c r="K32" i="48"/>
  <c r="K28"/>
  <c r="K26"/>
  <c r="K22"/>
  <c r="K31"/>
  <c r="K30"/>
  <c r="K29"/>
  <c r="K25"/>
  <c r="K24"/>
  <c r="K27"/>
  <c r="C24" i="14"/>
  <c r="C26" s="1"/>
  <c r="B7" i="48"/>
  <c r="J15" i="16"/>
  <c r="P4" i="48"/>
  <c r="Q11" i="14"/>
  <c r="I31" i="48"/>
  <c r="I32"/>
  <c r="I27"/>
  <c r="I29"/>
  <c r="I26"/>
  <c r="I28"/>
  <c r="I30"/>
  <c r="I25"/>
  <c r="I24"/>
  <c r="I22"/>
  <c r="E11" i="14"/>
  <c r="D4" i="48"/>
  <c r="D22" s="1"/>
  <c r="H29"/>
  <c r="H25"/>
  <c r="H26"/>
  <c r="H32"/>
  <c r="H30"/>
  <c r="H24"/>
  <c r="H28"/>
  <c r="H22"/>
  <c r="H23"/>
  <c r="D11" i="14"/>
  <c r="C4" i="48"/>
  <c r="G32"/>
  <c r="G26"/>
  <c r="G22"/>
  <c r="G30"/>
  <c r="G25"/>
  <c r="G24"/>
  <c r="G29"/>
  <c r="G23"/>
  <c r="C11" i="14"/>
  <c r="B4" i="48"/>
  <c r="F32"/>
  <c r="F31"/>
  <c r="F27"/>
  <c r="F24"/>
  <c r="F29"/>
  <c r="F30"/>
  <c r="F28"/>
  <c r="N32"/>
  <c r="N27"/>
  <c r="N31"/>
  <c r="N29"/>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22" i="16" l="1"/>
  <c r="Q43" i="14" s="1"/>
  <c r="P8" i="48"/>
  <c r="P26" s="1"/>
  <c r="Q13" i="14"/>
  <c r="M12" i="22"/>
  <c r="N18" i="14"/>
  <c r="M13" i="48"/>
  <c r="M31" s="1"/>
  <c r="K15"/>
  <c r="K23"/>
  <c r="H18" i="14"/>
  <c r="R18" s="1"/>
  <c r="G13" i="48"/>
  <c r="H13"/>
  <c r="H31" s="1"/>
  <c r="I18" i="14"/>
  <c r="Q16"/>
  <c r="Q27" s="1"/>
  <c r="F20"/>
  <c r="F22" s="1"/>
  <c r="E9" i="48"/>
  <c r="D9"/>
  <c r="D27" s="1"/>
  <c r="E20" i="14"/>
  <c r="E22" s="1"/>
  <c r="B9" i="48"/>
  <c r="C20" i="14"/>
  <c r="O5" i="48"/>
  <c r="O23" s="1"/>
  <c r="P10" i="14"/>
  <c r="F4" i="48"/>
  <c r="F22" s="1"/>
  <c r="G11" i="14"/>
  <c r="K24"/>
  <c r="K26" s="1"/>
  <c r="J7" i="48"/>
  <c r="J25" s="1"/>
  <c r="P22"/>
  <c r="P33" s="1"/>
  <c r="P15"/>
  <c r="J10" i="14"/>
  <c r="J16" s="1"/>
  <c r="J27" s="1"/>
  <c r="I5" i="48"/>
  <c r="O22"/>
  <c r="K33"/>
  <c r="L46" i="14"/>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N4"/>
  <c r="N22" s="1"/>
  <c r="O11" i="14"/>
  <c r="M10" i="48"/>
  <c r="M28" s="1"/>
  <c r="N19" i="14"/>
  <c r="E7" i="48"/>
  <c r="E25" s="1"/>
  <c r="F24" i="14"/>
  <c r="F26" s="1"/>
  <c r="G31" i="48"/>
  <c r="Q13"/>
  <c r="K11" i="14"/>
  <c r="J4" i="48"/>
  <c r="E27"/>
  <c r="H20" i="14"/>
  <c r="G9" i="48"/>
  <c r="O8"/>
  <c r="O26" s="1"/>
  <c r="P13" i="14"/>
  <c r="P16" s="1"/>
  <c r="P27" s="1"/>
  <c r="O33" i="48"/>
  <c r="M14" i="22"/>
  <c r="H19" i="14"/>
  <c r="R19" s="1"/>
  <c r="G10" i="48"/>
  <c r="I23"/>
  <c r="I33" s="1"/>
  <c r="I15"/>
  <c r="Q46" i="14"/>
  <c r="Q61" s="1"/>
  <c r="Q63" s="1"/>
  <c r="N52"/>
  <c r="N61" s="1"/>
  <c r="O15" i="48"/>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E20" i="15" l="1"/>
  <c r="F40" i="14" s="1"/>
  <c r="E5" i="48"/>
  <c r="E23" s="1"/>
  <c r="F10" i="14"/>
  <c r="G28" i="48"/>
  <c r="Q10"/>
  <c r="G27"/>
  <c r="G15"/>
  <c r="I20" i="14"/>
  <c r="I22" s="1"/>
  <c r="I27" s="1"/>
  <c r="H9" i="48"/>
  <c r="E22"/>
  <c r="Q4"/>
  <c r="H22" i="14"/>
  <c r="H27" s="1"/>
  <c r="R11"/>
  <c r="K10"/>
  <c r="J5" i="48"/>
  <c r="J23" s="1"/>
  <c r="J22"/>
  <c r="M9"/>
  <c r="N20" i="14"/>
  <c r="N22" s="1"/>
  <c r="N27" s="1"/>
  <c r="N63" s="1"/>
  <c r="Q9" i="48"/>
  <c r="M61" i="14"/>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13"/>
  <c r="K16" s="1"/>
  <c r="K27" s="1"/>
  <c r="J8" i="48"/>
  <c r="E8"/>
  <c r="E26" s="1"/>
  <c r="F13" i="14"/>
  <c r="F16" s="1"/>
  <c r="F27" s="1"/>
  <c r="F63" s="1"/>
  <c r="H27" i="48"/>
  <c r="H33" s="1"/>
  <c r="H15"/>
  <c r="F46" i="14"/>
  <c r="F61" s="1"/>
  <c r="M27" i="48"/>
  <c r="M33" s="1"/>
  <c r="M15"/>
  <c r="E33"/>
  <c r="E22" i="16"/>
  <c r="F43" i="14" s="1"/>
  <c r="I63"/>
  <c r="Q5" i="48"/>
  <c r="R20" i="14"/>
  <c r="R22" s="1"/>
  <c r="H63"/>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<sst xmlns="http://schemas.openxmlformats.org/spreadsheetml/2006/main" count="2432" uniqueCount="913">
  <si>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</si>
  <si>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</si>
  <si>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</si>
  <si>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</si>
  <si>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</si>
  <si>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</si>
  <si>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</si>
  <si>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</si>
  <si>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</si>
  <si>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</si>
  <si>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</si>
  <si>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</si>
  <si>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</si>
  <si>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</si>
  <si>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</si>
  <si>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</si>
  <si>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</si>
  <si>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</si>
  <si>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</si>
  <si>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</si>
  <si>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</si>
  <si>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</si>
  <si>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</si>
  <si>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</si>
  <si>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</si>
  <si>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</si>
  <si>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</si>
  <si>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</si>
  <si>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</si>
  <si>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</si>
  <si>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</si>
  <si>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</si>
  <si>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</si>
  <si>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</si>
  <si>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</si>
  <si>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</si>
  <si>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</si>
  <si>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</si>
  <si>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</si>
  <si>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</si>
  <si>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</si>
  <si>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</si>
  <si>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</si>
  <si>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</si>
  <si>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</si>
  <si>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</si>
  <si>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</si>
  <si>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</si>
  <si>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</si>
  <si>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</si>
  <si>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</si>
  <si>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</si>
  <si>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</si>
  <si>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</si>
  <si>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</si>
  <si>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</si>
  <si>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</si>
  <si>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</si>
  <si>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</si>
  <si>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</si>
  <si>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</si>
  <si>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</si>
  <si>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</si>
  <si>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</si>
  <si>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</si>
  <si>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</si>
  <si>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</si>
  <si>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</si>
  <si>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</si>
  <si>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</si>
  <si>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</si>
  <si>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</si>
  <si>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</si>
  <si>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</si>
  <si>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</si>
  <si>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</si>
  <si>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</si>
  <si>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</si>
  <si>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</si>
  <si>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</si>
  <si>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</si>
  <si>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</si>
  <si>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</si>
  <si>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</si>
  <si>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</si>
  <si>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</si>
  <si>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</si>
  <si>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</si>
  <si>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</si>
  <si>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</si>
  <si>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</si>
  <si>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</si>
  <si>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</si>
  <si>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</si>
  <si>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</si>
  <si>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</si>
  <si>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</si>
  <si>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</si>
  <si>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</si>
  <si>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</si>
  <si>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</si>
  <si>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</si>
  <si>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</si>
  <si>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</si>
  <si>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</si>
  <si>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</si>
  <si>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</si>
  <si>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</si>
  <si>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</si>
  <si>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</si>
  <si>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</si>
  <si>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</si>
  <si>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</si>
  <si>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</si>
  <si>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</si>
  <si>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</si>
  <si>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</si>
  <si>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</si>
  <si>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</si>
  <si>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</si>
  <si>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</si>
  <si>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</si>
  <si>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</si>
  <si>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</si>
  <si>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</si>
  <si>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</si>
  <si>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</si>
  <si>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</si>
  <si>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</si>
  <si>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</si>
  <si>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</si>
  <si>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</si>
  <si>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</si>
  <si>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</si>
  <si>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</si>
  <si>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</si>
  <si>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</si>
  <si>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</si>
  <si>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</si>
  <si>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</si>
  <si>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</si>
  <si>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</si>
  <si>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</si>
  <si>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</si>
  <si>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</si>
  <si>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</si>
  <si>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</si>
  <si>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</si>
  <si>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</si>
  <si>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</si>
  <si>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</si>
  <si>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</si>
  <si>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</si>
  <si>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</si>
  <si>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</si>
  <si>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</si>
  <si>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</si>
  <si>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</si>
  <si>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</si>
  <si>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</si>
  <si>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</si>
  <si>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</si>
  <si>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</si>
  <si>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</si>
  <si>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</si>
  <si>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</si>
  <si>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</si>
  <si>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</si>
  <si>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</si>
  <si>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</si>
  <si>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</si>
  <si>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</si>
  <si>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</si>
  <si>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</si>
  <si>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</si>
  <si>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</si>
  <si>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</si>
  <si>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</si>
  <si>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</si>
  <si>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</si>
  <si>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</si>
  <si>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</si>
  <si>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</si>
  <si>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</si>
  <si>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</si>
  <si>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</si>
  <si>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</si>
  <si>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</si>
  <si>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</si>
  <si>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</si>
  <si>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</si>
  <si>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</si>
  <si>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</si>
  <si>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</si>
  <si>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</si>
  <si>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</si>
  <si>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</si>
  <si>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</si>
  <si>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</si>
  <si>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</si>
  <si>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</si>
  <si>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</si>
  <si>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</si>
  <si>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</si>
  <si>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</si>
  <si>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</si>
  <si>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</si>
  <si>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</si>
  <si>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</si>
  <si>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</si>
  <si>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</si>
  <si>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</si>
  <si>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</si>
  <si>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</si>
  <si>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</si>
  <si>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</si>
  <si>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</si>
  <si>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</si>
  <si>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</si>
  <si>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</si>
  <si>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</si>
  <si>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</si>
  <si>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</si>
  <si>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</si>
  <si>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</si>
  <si>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</si>
  <si>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</si>
  <si>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</si>
  <si>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</si>
  <si>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</si>
  <si>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</si>
  <si>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</si>
  <si>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</si>
  <si>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</si>
  <si>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</si>
  <si>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</si>
  <si>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</si>
  <si>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</si>
  <si>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</si>
  <si>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</si>
  <si>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</si>
  <si>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</si>
  <si>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</si>
  <si>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</si>
  <si>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</si>
  <si>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</si>
  <si>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</si>
  <si>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</si>
  <si>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</si>
  <si>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</si>
  <si>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</si>
  <si>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</si>
  <si>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</si>
  <si>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</si>
  <si>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</si>
  <si>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</si>
  <si>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</si>
  <si>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</si>
  <si>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</si>
  <si>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</si>
  <si>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</si>
  <si>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</si>
  <si>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</si>
  <si>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</si>
  <si>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</si>
  <si>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</si>
  <si>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</si>
  <si>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</si>
  <si>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</si>
  <si>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</si>
  <si>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</si>
  <si>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</si>
  <si>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</si>
  <si>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</si>
  <si>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</si>
  <si>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</si>
  <si>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</si>
  <si>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</si>
  <si>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</si>
  <si>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</si>
  <si>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</si>
  <si>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</si>
  <si>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</si>
  <si>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</si>
  <si>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</si>
  <si>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</si>
  <si>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</si>
  <si>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</si>
  <si>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</si>
  <si>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</si>
  <si>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</si>
  <si>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</si>
  <si>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</si>
  <si>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</si>
  <si>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</si>
  <si>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</si>
  <si>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</si>
  <si>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</si>
  <si>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</si>
  <si>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</si>
  <si>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</si>
  <si>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</si>
  <si>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</si>
  <si>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</si>
  <si>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</si>
  <si>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</si>
  <si>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</si>
  <si>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</si>
  <si>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</si>
  <si>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</si>
  <si>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</si>
  <si>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</si>
  <si>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</si>
  <si>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</si>
  <si>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</si>
  <si>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</si>
  <si>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</si>
  <si>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</si>
  <si>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</si>
  <si>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</si>
  <si>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</si>
  <si>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</si>
  <si>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</si>
  <si>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</si>
  <si>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</si>
  <si>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</si>
  <si>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</si>
  <si>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</si>
  <si>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</si>
  <si>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</si>
  <si>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</si>
  <si>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</si>
  <si>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</si>
  <si>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</si>
  <si>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</si>
  <si>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</si>
  <si>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</si>
  <si>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</si>
  <si>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</si>
  <si>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</si>
  <si>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</si>
  <si>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</si>
  <si>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</si>
  <si>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</si>
  <si>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</si>
  <si>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</si>
  <si>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</si>
  <si>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</si>
  <si>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</si>
  <si>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</si>
  <si>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</si>
  <si>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</si>
  <si>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</si>
  <si>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</si>
  <si>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</si>
  <si>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</si>
  <si>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</si>
  <si>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</si>
  <si>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</si>
  <si>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</si>
  <si>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</si>
  <si>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</si>
  <si>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</si>
  <si>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</si>
  <si>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</si>
  <si>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</si>
  <si>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</si>
  <si>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</si>
  <si>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</si>
  <si>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</si>
  <si>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</si>
  <si>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</si>
  <si>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</si>
  <si>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</si>
  <si>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</si>
  <si>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</si>
  <si>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</si>
  <si>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</si>
  <si>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</si>
  <si>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</si>
  <si>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</si>
  <si>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</si>
  <si>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</si>
  <si>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</si>
  <si>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</si>
  <si>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</si>
  <si>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</si>
  <si>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</si>
  <si>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</si>
  <si>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</si>
  <si>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</si>
  <si>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</si>
  <si>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</si>
  <si>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</si>
  <si>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</si>
  <si>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</si>
  <si>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</si>
  <si>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</si>
  <si>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</si>
  <si>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</si>
  <si>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</si>
  <si>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</si>
  <si>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</si>
  <si>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</si>
  <si>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</si>
  <si>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</si>
  <si>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</si>
  <si>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</si>
  <si>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</si>
  <si>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</si>
  <si>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</si>
  <si>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</si>
  <si>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</si>
  <si>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</si>
  <si>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</si>
  <si>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</si>
  <si>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</si>
  <si>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</si>
  <si>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</si>
  <si>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</si>
  <si>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</si>
  <si>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</si>
  <si>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</si>
  <si>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</si>
  <si>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</si>
  <si>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</si>
  <si>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</si>
  <si>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</si>
  <si>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</si>
  <si>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</si>
  <si>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</si>
  <si>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</si>
  <si>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</si>
  <si>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</si>
  <si>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</si>
  <si>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</si>
  <si>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</si>
  <si>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</si>
  <si>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</si>
  <si>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</si>
  <si>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</si>
  <si>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</si>
  <si>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</si>
  <si>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</si>
  <si>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</si>
  <si>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</si>
  <si>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</si>
  <si>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</si>
  <si>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</si>
  <si>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</si>
  <si>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</si>
  <si>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</si>
  <si>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</si>
  <si>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</si>
  <si>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</si>
  <si>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</si>
  <si>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</si>
  <si>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</si>
  <si>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</si>
  <si>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</si>
  <si>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</si>
  <si>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</si>
  <si>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</si>
  <si>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</si>
  <si>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</si>
  <si>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</si>
  <si>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</si>
  <si>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</si>
  <si>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</si>
  <si>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</si>
  <si>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</si>
  <si>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</si>
  <si>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</si>
  <si>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</si>
  <si>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</si>
  <si>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</si>
  <si>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</si>
  <si>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</si>
  <si>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</si>
  <si>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</si>
  <si>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</si>
  <si>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</si>
  <si>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</si>
  <si>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</si>
  <si>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</si>
  <si>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</si>
  <si>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</si>
  <si>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</si>
  <si>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</si>
  <si>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</si>
  <si>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</si>
  <si>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</si>
  <si>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</si>
  <si>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</si>
  <si>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</si>
  <si>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</si>
  <si>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</si>
  <si>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</si>
  <si>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</si>
  <si>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</si>
  <si>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</si>
  <si>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</si>
  <si>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</si>
  <si>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</si>
  <si>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</si>
  <si>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</si>
  <si>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</si>
  <si>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</si>
  <si>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</si>
  <si>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</si>
  <si>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</si>
  <si>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</si>
  <si>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</si>
  <si>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</si>
  <si>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</si>
  <si>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</si>
  <si>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</si>
  <si>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</si>
  <si>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</si>
  <si>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</si>
  <si>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</si>
  <si>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</si>
  <si>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</si>
  <si>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</si>
  <si>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</si>
  <si>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</si>
  <si>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</si>
  <si>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</si>
  <si>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</si>
  <si>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</si>
  <si>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</si>
  <si>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</si>
  <si>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</si>
  <si>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</si>
  <si>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</si>
  <si>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</si>
  <si>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</si>
  <si>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</si>
  <si>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</si>
  <si>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</si>
  <si>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</si>
  <si>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</si>
  <si>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</si>
  <si>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</si>
  <si>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</si>
  <si>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</si>
  <si>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</si>
  <si>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</si>
  <si>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</si>
  <si>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</si>
  <si>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</si>
  <si>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</si>
  <si>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</si>
  <si>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</si>
  <si>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</si>
  <si>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</si>
  <si>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</si>
  <si>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</si>
  <si>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</si>
  <si>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</si>
  <si>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</si>
  <si>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</si>
  <si>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</si>
  <si>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</si>
  <si>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</si>
  <si>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</si>
  <si>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</si>
  <si>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</si>
  <si>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</si>
  <si>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</si>
  <si>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</si>
  <si>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</si>
  <si>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</si>
  <si>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</si>
  <si>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</si>
  <si>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</si>
  <si>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</si>
  <si>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</si>
  <si>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</si>
  <si>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</si>
  <si>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</si>
  <si>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</si>
  <si>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</si>
  <si>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</si>
  <si>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</si>
  <si>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</si>
  <si>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</si>
  <si>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</si>
  <si>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</si>
  <si>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</si>
  <si>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</si>
  <si>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</si>
  <si>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</si>
  <si>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</si>
  <si>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</si>
  <si>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</si>
  <si>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</si>
  <si>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</si>
  <si>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</si>
  <si>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</si>
  <si>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</si>
  <si>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</si>
  <si>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</si>
  <si>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</si>
  <si>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</si>
  <si>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</si>
  <si>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</si>
  <si>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</si>
  <si>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</si>
  <si>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</si>
  <si>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</si>
  <si>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</si>
  <si>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</si>
  <si>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</si>
  <si>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</si>
  <si>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</si>
  <si>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</si>
  <si>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</si>
  <si>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</si>
  <si>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</si>
  <si>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</si>
  <si>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</si>
  <si>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</si>
  <si>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</si>
  <si>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</si>
  <si>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</si>
  <si>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</si>
  <si>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</si>
  <si>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</si>
  <si>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</si>
  <si>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</si>
  <si>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</si>
  <si>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</si>
  <si>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</si>
  <si>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</si>
  <si>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</si>
  <si>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</si>
  <si>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</si>
  <si>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</si>
  <si>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</si>
  <si>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</si>
  <si>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</si>
  <si>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</si>
  <si>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</si>
  <si>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</si>
  <si>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</si>
  <si>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</si>
  <si>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</si>
  <si>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</si>
  <si>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</si>
  <si>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</si>
  <si>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</si>
  <si>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</si>
  <si>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</si>
  <si>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</si>
  <si>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</si>
  <si>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</si>
  <si>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</si>
  <si>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</si>
  <si>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</si>
  <si>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</si>
  <si>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</si>
  <si>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</si>
  <si>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</si>
  <si>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</si>
  <si>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</si>
  <si>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</si>
  <si>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</si>
  <si>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</si>
  <si>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</si>
  <si>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</si>
  <si>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</si>
  <si>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</si>
  <si>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</si>
  <si>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</si>
  <si>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</si>
  <si>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</si>
  <si>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</si>
  <si>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</si>
  <si>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</si>
  <si>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</si>
  <si>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</si>
  <si>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</si>
  <si>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</si>
  <si>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</si>
  <si>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</si>
  <si>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</si>
  <si>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</si>
  <si>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</si>
  <si>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</si>
  <si>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</si>
  <si>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</si>
  <si>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</si>
  <si>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</si>
  <si>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</si>
  <si>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</si>
  <si>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</si>
  <si>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</si>
  <si>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</si>
  <si>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</si>
  <si>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</si>
  <si>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</si>
  <si>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</si>
  <si>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</si>
  <si>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</si>
  <si>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</si>
  <si>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</si>
  <si>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</si>
  <si>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</si>
  <si>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</si>
  <si>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</si>
  <si>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</si>
  <si>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</si>
  <si>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</si>
  <si>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</si>
  <si>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</si>
  <si>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</si>
  <si>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</si>
  <si>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</si>
  <si>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</si>
  <si>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</si>
  <si>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</si>
  <si>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</si>
  <si>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</si>
  <si>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</si>
  <si>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</si>
  <si>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</si>
  <si>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</si>
  <si>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</si>
  <si>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</si>
  <si>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</si>
  <si>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</si>
  <si>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</si>
  <si>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</si>
  <si>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</si>
  <si>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</si>
  <si>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</si>
  <si>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</si>
  <si>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</si>
  <si>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</si>
  <si>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</si>
  <si>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</si>
  <si>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</si>
  <si>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</si>
  <si>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</si>
  <si>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</si>
  <si>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</si>
  <si>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</si>
  <si>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</si>
  <si>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</si>
  <si>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</si>
  <si>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</si>
  <si>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</si>
  <si>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</si>
  <si>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</si>
  <si>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</si>
  <si>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</si>
  <si>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</si>
  <si>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</si>
  <si>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</si>
  <si>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</si>
  <si>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</si>
  <si>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</si>
  <si>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</si>
  <si>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</si>
  <si>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</si>
  <si>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</si>
  <si>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</si>
  <si>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</si>
  <si>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</si>
  <si>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</si>
  <si>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</si>
  <si>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</si>
  <si>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</si>
  <si>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</si>
  <si>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</si>
  <si>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</si>
  <si>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</si>
  <si>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</si>
  <si>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</si>
  <si>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</si>
  <si>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</si>
  <si>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</si>
  <si>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</si>
  <si>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</si>
  <si>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</si>
  <si>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</si>
  <si>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</si>
  <si>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</si>
  <si>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</si>
  <si>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</si>
  <si>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</si>
  <si>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</si>
  <si>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</si>
  <si>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</si>
  <si>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</si>
  <si>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</si>
  <si>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</si>
  <si>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</si>
  <si>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</si>
  <si>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</si>
  <si>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</si>
  <si>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</si>
  <si>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</si>
  <si>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</si>
  <si>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</si>
  <si>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</si>
  <si>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</si>
  <si>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</si>
  <si>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</si>
  <si>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</si>
  <si>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</si>
  <si>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</si>
  <si>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</si>
  <si>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</si>
  <si>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</si>
  <si>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</si>
  <si>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</si>
  <si>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</si>
  <si>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</si>
  <si>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</si>
  <si>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</si>
  <si>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</si>
  <si>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</si>
  <si>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</si>
  <si>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</si>
  <si>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</si>
  <si>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</si>
  <si>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</si>
  <si>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</si>
  <si>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</si>
  <si>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</si>
  <si>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</si>
  <si>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</si>
  <si>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</si>
  <si>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</si>
  <si>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</si>
  <si>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</si>
  <si>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</si>
  <si>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</si>
  <si>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</si>
  <si>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</si>
  <si>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</si>
  <si>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</si>
  <si>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</si>
  <si>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</si>
  <si>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</si>
  <si>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</si>
  <si>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</si>
  <si>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</si>
  <si>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</si>
  <si>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</si>
  <si>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</si>
  <si>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</si>
  <si>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</si>
  <si>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</si>
  <si>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</si>
  <si>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</si>
  <si>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</si>
  <si>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</si>
  <si>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</si>
  <si>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</si>
  <si>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</si>
  <si>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</si>
  <si>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</si>
  <si>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</si>
  <si>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</si>
  <si>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</si>
  <si>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</si>
  <si>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</si>
  <si>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</si>
  <si>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</si>
  <si>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</si>
  <si>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</si>
  <si>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</si>
  <si>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</si>
  <si>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</si>
  <si>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</si>
  <si>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</si>
  <si>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</si>
  <si>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</si>
  <si>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</si>
  <si>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</si>
  <si>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</si>
  <si>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</si>
  <si>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</si>
  <si>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</si>
  <si>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</si>
  <si>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</si>
  <si>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</si>
  <si>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</si>
  <si>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</si>
  <si>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</si>
  <si>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</si>
  <si>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</si>
  <si>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</si>
  <si>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</si>
  <si>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</si>
  <si>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</si>
  <si>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</si>
  <si>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</si>
  <si>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</si>
  <si>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</si>
  <si>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</si>
  <si>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</si>
  <si>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</si>
  <si>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13046</t>
  </si>
  <si>
    <t>VOSSELAAR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</si>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</sst>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99227.827374987115</c:v>
                </c:pt>
                <c:pt idx="1">
                  <c:v>17395.196446210361</c:v>
                </c:pt>
                <c:pt idx="2">
                  <c:v>527.08000000000004</c:v>
                </c:pt>
                <c:pt idx="3">
                  <c:v>532.35584644451285</c:v>
                </c:pt>
                <c:pt idx="4">
                  <c:v>1965.1283784817999</c:v>
                </c:pt>
                <c:pt idx="5">
                  <c:v>79103.388179641988</c:v>
                </c:pt>
                <c:pt idx="6">
                  <c:v>1333.6281023323988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99227.827374987115</c:v>
                </c:pt>
                <c:pt idx="1">
                  <c:v>17395.196446210361</c:v>
                </c:pt>
                <c:pt idx="2">
                  <c:v>527.08000000000004</c:v>
                </c:pt>
                <c:pt idx="3">
                  <c:v>532.35584644451285</c:v>
                </c:pt>
                <c:pt idx="4">
                  <c:v>1965.1283784817999</c:v>
                </c:pt>
                <c:pt idx="5">
                  <c:v>79103.388179641988</c:v>
                </c:pt>
                <c:pt idx="6">
                  <c:v>1333.6281023323988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17318.270530197773</c:v>
                </c:pt>
                <c:pt idx="2">
                  <c:v>3455.764425470657</c:v>
                </c:pt>
                <c:pt idx="3">
                  <c:v>106.88860402519668</c:v>
                </c:pt>
                <c:pt idx="4">
                  <c:v>135.66504474381958</c:v>
                </c:pt>
                <c:pt idx="5">
                  <c:v>400.35984429859332</c:v>
                </c:pt>
                <c:pt idx="6">
                  <c:v>20026.115261287974</c:v>
                </c:pt>
                <c:pt idx="7">
                  <c:v>340.91727811004267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17318.270530197773</c:v>
                </c:pt>
                <c:pt idx="2">
                  <c:v>3455.764425470657</c:v>
                </c:pt>
                <c:pt idx="3">
                  <c:v>106.88860402519668</c:v>
                </c:pt>
                <c:pt idx="4">
                  <c:v>135.66504474381958</c:v>
                </c:pt>
                <c:pt idx="5">
                  <c:v>400.35984429859332</c:v>
                </c:pt>
                <c:pt idx="6">
                  <c:v>20026.115261287974</c:v>
                </c:pt>
                <c:pt idx="7">
                  <c:v>340.91727811004267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13046</v>
      </c>
      <c r="B6" s="398"/>
      <c r="C6" s="399"/>
    </row>
    <row r="7" spans="1:7" s="396" customFormat="1" ht="15.75" customHeight="1">
      <c r="A7" s="400" t="str">
        <f>txtMunicipality</f>
        <v>VOSSELAAR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0.20279389091826036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0.20279389091826036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13046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4190</v>
      </c>
      <c r="C9" s="338">
        <v>4137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175</v>
      </c>
    </row>
    <row r="15" spans="1:6">
      <c r="A15" s="1295" t="s">
        <v>184</v>
      </c>
      <c r="B15" s="335">
        <v>518</v>
      </c>
    </row>
    <row r="16" spans="1:6">
      <c r="A16" s="1295" t="s">
        <v>6</v>
      </c>
      <c r="B16" s="335">
        <v>4</v>
      </c>
    </row>
    <row r="17" spans="1:6">
      <c r="A17" s="1295" t="s">
        <v>7</v>
      </c>
      <c r="B17" s="335">
        <v>55</v>
      </c>
    </row>
    <row r="18" spans="1:6">
      <c r="A18" s="1295" t="s">
        <v>8</v>
      </c>
      <c r="B18" s="335">
        <v>51</v>
      </c>
    </row>
    <row r="19" spans="1:6">
      <c r="A19" s="1295" t="s">
        <v>9</v>
      </c>
      <c r="B19" s="335">
        <v>44</v>
      </c>
    </row>
    <row r="20" spans="1:6">
      <c r="A20" s="1295" t="s">
        <v>10</v>
      </c>
      <c r="B20" s="335">
        <v>51</v>
      </c>
    </row>
    <row r="21" spans="1:6">
      <c r="A21" s="1295" t="s">
        <v>11</v>
      </c>
      <c r="B21" s="335">
        <v>0</v>
      </c>
    </row>
    <row r="22" spans="1:6">
      <c r="A22" s="1295" t="s">
        <v>12</v>
      </c>
      <c r="B22" s="335">
        <v>738</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2</v>
      </c>
    </row>
    <row r="28" spans="1:6" s="341" customFormat="1">
      <c r="A28" s="1296" t="s">
        <v>18</v>
      </c>
      <c r="B28" s="1296">
        <v>34116</v>
      </c>
    </row>
    <row r="29" spans="1:6">
      <c r="A29" s="1296" t="s">
        <v>909</v>
      </c>
      <c r="B29" s="1296">
        <v>11</v>
      </c>
      <c r="C29" s="341"/>
      <c r="D29" s="341"/>
      <c r="E29" s="341"/>
      <c r="F29" s="341"/>
    </row>
    <row r="30" spans="1:6">
      <c r="A30" s="1291" t="s">
        <v>910</v>
      </c>
      <c r="B30" s="1291">
        <v>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93943</v>
      </c>
      <c r="E38" s="335">
        <v>2</v>
      </c>
      <c r="F38" s="335">
        <v>34563</v>
      </c>
    </row>
    <row r="39" spans="1:6">
      <c r="A39" s="1295" t="s">
        <v>30</v>
      </c>
      <c r="B39" s="1295" t="s">
        <v>31</v>
      </c>
      <c r="C39" s="335">
        <v>3541</v>
      </c>
      <c r="D39" s="335">
        <v>72201073.927403852</v>
      </c>
      <c r="E39" s="335">
        <v>4269</v>
      </c>
      <c r="F39" s="335">
        <v>17149576</v>
      </c>
    </row>
    <row r="40" spans="1:6">
      <c r="A40" s="1295" t="s">
        <v>30</v>
      </c>
      <c r="B40" s="1295" t="s">
        <v>29</v>
      </c>
      <c r="C40" s="335">
        <v>1</v>
      </c>
      <c r="D40" s="335">
        <v>15907</v>
      </c>
      <c r="E40" s="335">
        <v>1</v>
      </c>
      <c r="F40" s="335">
        <v>3924</v>
      </c>
    </row>
    <row r="41" spans="1:6">
      <c r="A41" s="1295" t="s">
        <v>32</v>
      </c>
      <c r="B41" s="1295" t="s">
        <v>33</v>
      </c>
      <c r="C41" s="335">
        <v>21</v>
      </c>
      <c r="D41" s="335">
        <v>474862</v>
      </c>
      <c r="E41" s="335">
        <v>37</v>
      </c>
      <c r="F41" s="335">
        <v>179886</v>
      </c>
    </row>
    <row r="42" spans="1:6">
      <c r="A42" s="1295" t="s">
        <v>32</v>
      </c>
      <c r="B42" s="1295" t="s">
        <v>34</v>
      </c>
      <c r="C42" s="335">
        <v>0</v>
      </c>
      <c r="D42" s="335">
        <v>0</v>
      </c>
      <c r="E42" s="335">
        <v>5</v>
      </c>
      <c r="F42" s="335">
        <v>177813</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v>
      </c>
      <c r="D48" s="335">
        <v>202386</v>
      </c>
      <c r="E48" s="335">
        <v>4</v>
      </c>
      <c r="F48" s="335">
        <v>31156</v>
      </c>
    </row>
    <row r="49" spans="1:6">
      <c r="A49" s="1295" t="s">
        <v>32</v>
      </c>
      <c r="B49" s="1295" t="s">
        <v>40</v>
      </c>
      <c r="C49" s="335">
        <v>0</v>
      </c>
      <c r="D49" s="335">
        <v>0</v>
      </c>
      <c r="E49" s="335">
        <v>0</v>
      </c>
      <c r="F49" s="335">
        <v>0</v>
      </c>
    </row>
    <row r="50" spans="1:6">
      <c r="A50" s="1295" t="s">
        <v>32</v>
      </c>
      <c r="B50" s="1295" t="s">
        <v>41</v>
      </c>
      <c r="C50" s="335">
        <v>4</v>
      </c>
      <c r="D50" s="335">
        <v>218872</v>
      </c>
      <c r="E50" s="335">
        <v>8</v>
      </c>
      <c r="F50" s="335">
        <v>180348</v>
      </c>
    </row>
    <row r="51" spans="1:6">
      <c r="A51" s="1295" t="s">
        <v>42</v>
      </c>
      <c r="B51" s="1295" t="s">
        <v>43</v>
      </c>
      <c r="C51" s="335">
        <v>0</v>
      </c>
      <c r="D51" s="335">
        <v>0</v>
      </c>
      <c r="E51" s="335">
        <v>9</v>
      </c>
      <c r="F51" s="335">
        <v>113317</v>
      </c>
    </row>
    <row r="52" spans="1:6">
      <c r="A52" s="1295" t="s">
        <v>42</v>
      </c>
      <c r="B52" s="1295" t="s">
        <v>29</v>
      </c>
      <c r="C52" s="335">
        <v>1</v>
      </c>
      <c r="D52" s="335">
        <v>10640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48</v>
      </c>
      <c r="F54" s="335">
        <v>527080</v>
      </c>
    </row>
    <row r="55" spans="1:6">
      <c r="A55" s="1295" t="s">
        <v>46</v>
      </c>
      <c r="B55" s="1295" t="s">
        <v>29</v>
      </c>
      <c r="C55" s="335">
        <v>0</v>
      </c>
      <c r="D55" s="335">
        <v>0</v>
      </c>
      <c r="E55" s="335">
        <v>0</v>
      </c>
      <c r="F55" s="335">
        <v>0</v>
      </c>
    </row>
    <row r="56" spans="1:6">
      <c r="A56" s="1295" t="s">
        <v>48</v>
      </c>
      <c r="B56" s="1295" t="s">
        <v>29</v>
      </c>
      <c r="C56" s="335">
        <v>38</v>
      </c>
      <c r="D56" s="335">
        <v>1134686</v>
      </c>
      <c r="E56" s="335">
        <v>68</v>
      </c>
      <c r="F56" s="335">
        <v>453624</v>
      </c>
    </row>
    <row r="57" spans="1:6">
      <c r="A57" s="1295" t="s">
        <v>49</v>
      </c>
      <c r="B57" s="1295" t="s">
        <v>50</v>
      </c>
      <c r="C57" s="335">
        <v>15</v>
      </c>
      <c r="D57" s="335">
        <v>555891</v>
      </c>
      <c r="E57" s="335">
        <v>30</v>
      </c>
      <c r="F57" s="335">
        <v>1061715</v>
      </c>
    </row>
    <row r="58" spans="1:6">
      <c r="A58" s="1295" t="s">
        <v>49</v>
      </c>
      <c r="B58" s="1295" t="s">
        <v>51</v>
      </c>
      <c r="C58" s="335">
        <v>15</v>
      </c>
      <c r="D58" s="335">
        <v>874529</v>
      </c>
      <c r="E58" s="335">
        <v>25</v>
      </c>
      <c r="F58" s="335">
        <v>566967</v>
      </c>
    </row>
    <row r="59" spans="1:6">
      <c r="A59" s="1295" t="s">
        <v>49</v>
      </c>
      <c r="B59" s="1295" t="s">
        <v>52</v>
      </c>
      <c r="C59" s="335">
        <v>47</v>
      </c>
      <c r="D59" s="335">
        <v>1623784</v>
      </c>
      <c r="E59" s="335">
        <v>86</v>
      </c>
      <c r="F59" s="335">
        <v>2252199</v>
      </c>
    </row>
    <row r="60" spans="1:6">
      <c r="A60" s="1295" t="s">
        <v>49</v>
      </c>
      <c r="B60" s="1295" t="s">
        <v>53</v>
      </c>
      <c r="C60" s="335">
        <v>28</v>
      </c>
      <c r="D60" s="335">
        <v>1279174</v>
      </c>
      <c r="E60" s="335">
        <v>33</v>
      </c>
      <c r="F60" s="335">
        <v>764985</v>
      </c>
    </row>
    <row r="61" spans="1:6">
      <c r="A61" s="1295" t="s">
        <v>49</v>
      </c>
      <c r="B61" s="1295" t="s">
        <v>54</v>
      </c>
      <c r="C61" s="335">
        <v>69</v>
      </c>
      <c r="D61" s="335">
        <v>4715583</v>
      </c>
      <c r="E61" s="335">
        <v>171</v>
      </c>
      <c r="F61" s="335">
        <v>1945173</v>
      </c>
    </row>
    <row r="62" spans="1:6">
      <c r="A62" s="1295" t="s">
        <v>49</v>
      </c>
      <c r="B62" s="1295" t="s">
        <v>55</v>
      </c>
      <c r="C62" s="335">
        <v>5</v>
      </c>
      <c r="D62" s="335">
        <v>442237</v>
      </c>
      <c r="E62" s="335">
        <v>5</v>
      </c>
      <c r="F62" s="335">
        <v>51212</v>
      </c>
    </row>
    <row r="63" spans="1:6">
      <c r="A63" s="1295" t="s">
        <v>49</v>
      </c>
      <c r="B63" s="1295" t="s">
        <v>29</v>
      </c>
      <c r="C63" s="335">
        <v>0</v>
      </c>
      <c r="D63" s="335">
        <v>0</v>
      </c>
      <c r="E63" s="335">
        <v>1</v>
      </c>
      <c r="F63" s="335">
        <v>9614</v>
      </c>
    </row>
    <row r="64" spans="1:6">
      <c r="A64" s="1295" t="s">
        <v>56</v>
      </c>
      <c r="B64" s="1295" t="s">
        <v>57</v>
      </c>
      <c r="C64" s="335">
        <v>0</v>
      </c>
      <c r="D64" s="335">
        <v>0</v>
      </c>
      <c r="E64" s="335">
        <v>0</v>
      </c>
      <c r="F64" s="335">
        <v>0</v>
      </c>
    </row>
    <row r="65" spans="1:6">
      <c r="A65" s="1295" t="s">
        <v>56</v>
      </c>
      <c r="B65" s="1295" t="s">
        <v>29</v>
      </c>
      <c r="C65" s="335">
        <v>1</v>
      </c>
      <c r="D65" s="335">
        <v>23630</v>
      </c>
      <c r="E65" s="335">
        <v>2</v>
      </c>
      <c r="F65" s="335">
        <v>10459.493005794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16948556</v>
      </c>
      <c r="E73" s="335">
        <v>17468494.292026684</v>
      </c>
    </row>
    <row r="74" spans="1:6">
      <c r="A74" s="1295" t="s">
        <v>64</v>
      </c>
      <c r="B74" s="1295" t="s">
        <v>727</v>
      </c>
      <c r="C74" s="1295" t="s">
        <v>728</v>
      </c>
      <c r="D74" s="335">
        <v>1363372.6793599627</v>
      </c>
      <c r="E74" s="335">
        <v>1415888.1065517294</v>
      </c>
    </row>
    <row r="75" spans="1:6">
      <c r="A75" s="1295" t="s">
        <v>65</v>
      </c>
      <c r="B75" s="1295" t="s">
        <v>725</v>
      </c>
      <c r="C75" s="1295" t="s">
        <v>729</v>
      </c>
      <c r="D75" s="335">
        <v>13751779</v>
      </c>
      <c r="E75" s="335">
        <v>14285574.410860153</v>
      </c>
    </row>
    <row r="76" spans="1:6">
      <c r="A76" s="1295" t="s">
        <v>65</v>
      </c>
      <c r="B76" s="1295" t="s">
        <v>727</v>
      </c>
      <c r="C76" s="1295" t="s">
        <v>730</v>
      </c>
      <c r="D76" s="335">
        <v>89181.679359962727</v>
      </c>
      <c r="E76" s="335">
        <v>101611.31697466862</v>
      </c>
    </row>
    <row r="77" spans="1:6">
      <c r="A77" s="1295" t="s">
        <v>66</v>
      </c>
      <c r="B77" s="1295" t="s">
        <v>725</v>
      </c>
      <c r="C77" s="1295" t="s">
        <v>731</v>
      </c>
      <c r="D77" s="335">
        <v>38788340</v>
      </c>
      <c r="E77" s="335">
        <v>39417577.47568433</v>
      </c>
    </row>
    <row r="78" spans="1:6">
      <c r="A78" s="1291" t="s">
        <v>66</v>
      </c>
      <c r="B78" s="1291" t="s">
        <v>727</v>
      </c>
      <c r="C78" s="1291" t="s">
        <v>732</v>
      </c>
      <c r="D78" s="1291">
        <v>10074244</v>
      </c>
      <c r="E78" s="1291">
        <v>11542044.589813532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352328.64128007455</v>
      </c>
      <c r="C83" s="335">
        <v>348077.75988345972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2256.7240000000002</v>
      </c>
    </row>
    <row r="92" spans="1:6">
      <c r="A92" s="1291" t="s">
        <v>69</v>
      </c>
      <c r="B92" s="338">
        <v>27.616060000000001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2398</v>
      </c>
    </row>
    <row r="98" spans="1:6">
      <c r="A98" s="1295" t="s">
        <v>72</v>
      </c>
      <c r="B98" s="335">
        <v>2</v>
      </c>
    </row>
    <row r="99" spans="1:6">
      <c r="A99" s="1295" t="s">
        <v>73</v>
      </c>
      <c r="B99" s="335">
        <v>16</v>
      </c>
    </row>
    <row r="100" spans="1:6">
      <c r="A100" s="1295" t="s">
        <v>74</v>
      </c>
      <c r="B100" s="335">
        <v>136</v>
      </c>
    </row>
    <row r="101" spans="1:6">
      <c r="A101" s="1295" t="s">
        <v>75</v>
      </c>
      <c r="B101" s="335">
        <v>56</v>
      </c>
    </row>
    <row r="102" spans="1:6">
      <c r="A102" s="1295" t="s">
        <v>76</v>
      </c>
      <c r="B102" s="335">
        <v>44</v>
      </c>
    </row>
    <row r="103" spans="1:6">
      <c r="A103" s="1295" t="s">
        <v>77</v>
      </c>
      <c r="B103" s="335">
        <v>50</v>
      </c>
    </row>
    <row r="104" spans="1:6">
      <c r="A104" s="1295" t="s">
        <v>78</v>
      </c>
      <c r="B104" s="335">
        <v>897</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20</v>
      </c>
      <c r="C123" s="335">
        <v>13</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69</v>
      </c>
    </row>
    <row r="130" spans="1:6">
      <c r="A130" s="1295" t="s">
        <v>295</v>
      </c>
      <c r="B130" s="335">
        <v>1</v>
      </c>
    </row>
    <row r="131" spans="1:6">
      <c r="A131" s="1295" t="s">
        <v>296</v>
      </c>
      <c r="B131" s="335">
        <v>0</v>
      </c>
    </row>
    <row r="132" spans="1:6">
      <c r="A132" s="1291" t="s">
        <v>297</v>
      </c>
      <c r="B132" s="338">
        <v>12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27729.107355856868</v>
      </c>
      <c r="C3" s="43" t="s">
        <v>170</v>
      </c>
      <c r="D3" s="43"/>
      <c r="E3" s="156"/>
      <c r="F3" s="43"/>
      <c r="G3" s="43"/>
      <c r="H3" s="43"/>
      <c r="I3" s="43"/>
      <c r="J3" s="43"/>
      <c r="K3" s="96"/>
    </row>
    <row r="4" spans="1:11">
      <c r="A4" s="366" t="s">
        <v>171</v>
      </c>
      <c r="B4" s="49">
        <f>IF(ISERROR('SEAP template'!B78+'SEAP template'!C78),0,'SEAP template'!B78+'SEAP template'!C78)</f>
        <v>2284.34006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0.20279389091826036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527.08000000000004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527.08000000000004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0.20279389091826036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106.88860402519668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17153.5</v>
      </c>
      <c r="C5" s="17">
        <f>IF(ISERROR('Eigen informatie GS &amp; warmtenet'!B57),0,'Eigen informatie GS &amp; warmtenet'!B57)</f>
        <v>0</v>
      </c>
      <c r="D5" s="30">
        <f>(SUM(HH_hh_gas_kWh,HH_rest_gas_kWh)/1000)*0.902</f>
        <v>65139.716796518282</v>
      </c>
      <c r="E5" s="17">
        <f>B46*B57</f>
        <v>985.78365086378096</v>
      </c>
      <c r="F5" s="17">
        <f>B51*B62</f>
        <v>0</v>
      </c>
      <c r="G5" s="18"/>
      <c r="H5" s="17"/>
      <c r="I5" s="17"/>
      <c r="J5" s="17">
        <f>B50*B61+C50*C61</f>
        <v>0</v>
      </c>
      <c r="K5" s="17"/>
      <c r="L5" s="17"/>
      <c r="M5" s="17"/>
      <c r="N5" s="17">
        <f>B48*B59+C48*C59</f>
        <v>12934.709594271719</v>
      </c>
      <c r="O5" s="17">
        <f>B69*B70*B71</f>
        <v>128.19333333333336</v>
      </c>
      <c r="P5" s="17">
        <f>B77*B78*B79/1000-B77*B78*B79/1000/B80</f>
        <v>629.20000000000005</v>
      </c>
    </row>
    <row r="6" spans="1:16">
      <c r="A6" s="16" t="s">
        <v>634</v>
      </c>
      <c r="B6" s="783">
        <f>kWh_PV_kleiner_dan_10kW</f>
        <v>2256.7240000000002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19410.224000000002</v>
      </c>
      <c r="C8" s="21">
        <f>C5</f>
        <v>0</v>
      </c>
      <c r="D8" s="21">
        <f>D5</f>
        <v>65139.716796518282</v>
      </c>
      <c r="E8" s="21">
        <f>E5</f>
        <v>985.78365086378096</v>
      </c>
      <c r="F8" s="21">
        <f>F5</f>
        <v>0</v>
      </c>
      <c r="G8" s="21"/>
      <c r="H8" s="21"/>
      <c r="I8" s="21"/>
      <c r="J8" s="21">
        <f>J5</f>
        <v>0</v>
      </c>
      <c r="K8" s="21"/>
      <c r="L8" s="21">
        <f>L5</f>
        <v>0</v>
      </c>
      <c r="M8" s="21">
        <f>M5</f>
        <v>0</v>
      </c>
      <c r="N8" s="21">
        <f>N5</f>
        <v>12934.709594271719</v>
      </c>
      <c r="O8" s="21">
        <f>O5</f>
        <v>128.19333333333336</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0.20279389091826036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3936.2748485549996</v>
      </c>
      <c r="C12" s="23">
        <f ca="1">C10*C8</f>
        <v>0</v>
      </c>
      <c r="D12" s="23">
        <f>D8*D10</f>
        <v>13158.222792896693</v>
      </c>
      <c r="E12" s="23">
        <f>E10*E8</f>
        <v>223.77288874607828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2398</v>
      </c>
      <c r="C18" s="168" t="s">
        <v>111</v>
      </c>
      <c r="D18" s="230"/>
      <c r="E18" s="15"/>
    </row>
    <row r="19" spans="1:7">
      <c r="A19" s="173" t="s">
        <v>72</v>
      </c>
      <c r="B19" s="37">
        <f>aantalw2001_ander</f>
        <v>2</v>
      </c>
      <c r="C19" s="168" t="s">
        <v>111</v>
      </c>
      <c r="D19" s="231"/>
      <c r="E19" s="15"/>
    </row>
    <row r="20" spans="1:7">
      <c r="A20" s="173" t="s">
        <v>73</v>
      </c>
      <c r="B20" s="37">
        <f>aantalw2001_propaan</f>
        <v>16</v>
      </c>
      <c r="C20" s="169">
        <f>IF(ISERROR(B20/SUM($B$20,$B$21,$B$22)*100),0,B20/SUM($B$20,$B$21,$B$22)*100)</f>
        <v>7.6923076923076925</v>
      </c>
      <c r="D20" s="231"/>
      <c r="E20" s="15"/>
    </row>
    <row r="21" spans="1:7">
      <c r="A21" s="173" t="s">
        <v>74</v>
      </c>
      <c r="B21" s="37">
        <f>aantalw2001_elektriciteit</f>
        <v>136</v>
      </c>
      <c r="C21" s="169">
        <f>IF(ISERROR(B21/SUM($B$20,$B$21,$B$22)*100),0,B21/SUM($B$20,$B$21,$B$22)*100)</f>
        <v>65.384615384615387</v>
      </c>
      <c r="D21" s="231"/>
      <c r="E21" s="15"/>
    </row>
    <row r="22" spans="1:7">
      <c r="A22" s="173" t="s">
        <v>75</v>
      </c>
      <c r="B22" s="37">
        <f>aantalw2001_hout</f>
        <v>56</v>
      </c>
      <c r="C22" s="169">
        <f>IF(ISERROR(B22/SUM($B$20,$B$21,$B$22)*100),0,B22/SUM($B$20,$B$21,$B$22)*100)</f>
        <v>26.923076923076923</v>
      </c>
      <c r="D22" s="231"/>
      <c r="E22" s="15"/>
    </row>
    <row r="23" spans="1:7">
      <c r="A23" s="173" t="s">
        <v>76</v>
      </c>
      <c r="B23" s="37">
        <f>aantalw2001_niet_gespec</f>
        <v>44</v>
      </c>
      <c r="C23" s="168" t="s">
        <v>111</v>
      </c>
      <c r="D23" s="230"/>
      <c r="E23" s="15"/>
    </row>
    <row r="24" spans="1:7">
      <c r="A24" s="173" t="s">
        <v>77</v>
      </c>
      <c r="B24" s="37">
        <f>aantalw2001_steenkool</f>
        <v>50</v>
      </c>
      <c r="C24" s="168" t="s">
        <v>111</v>
      </c>
      <c r="D24" s="231"/>
      <c r="E24" s="15"/>
    </row>
    <row r="25" spans="1:7">
      <c r="A25" s="173" t="s">
        <v>78</v>
      </c>
      <c r="B25" s="37">
        <f>aantalw2001_stookolie</f>
        <v>897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4190</v>
      </c>
      <c r="C28" s="36"/>
      <c r="D28" s="230"/>
    </row>
    <row r="29" spans="1:7" s="15" customFormat="1">
      <c r="A29" s="232" t="s">
        <v>746</v>
      </c>
      <c r="B29" s="37">
        <f>SUM(HH_hh_gas_aantal,HH_rest_gas_aantal)</f>
        <v>3542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3542</v>
      </c>
      <c r="C32" s="169">
        <f>IF(ISERROR(B32/SUM($B$32,$B$34,$B$35,$B$36,$B$38,$B$39)*100),0,B32/SUM($B$32,$B$34,$B$35,$B$36,$B$38,$B$39)*100)</f>
        <v>85.205677171036811</v>
      </c>
      <c r="D32" s="235"/>
      <c r="G32" s="15"/>
    </row>
    <row r="33" spans="1:7">
      <c r="A33" s="173" t="s">
        <v>72</v>
      </c>
      <c r="B33" s="34" t="s">
        <v>111</v>
      </c>
      <c r="C33" s="169"/>
      <c r="D33" s="235"/>
      <c r="G33" s="15"/>
    </row>
    <row r="34" spans="1:7">
      <c r="A34" s="173" t="s">
        <v>73</v>
      </c>
      <c r="B34" s="33">
        <f>IF((($B$28-$B$32-$B$39-$B$77-$B$38)*C20/100)&lt;0,0,($B$28-$B$32-$B$39-$B$77-$B$38)*C20/100)</f>
        <v>47.307692307692307</v>
      </c>
      <c r="C34" s="169">
        <f>IF(ISERROR(B34/SUM($B$32,$B$34,$B$35,$B$36,$B$38,$B$39)*100),0,B34/SUM($B$32,$B$34,$B$35,$B$36,$B$38,$B$39)*100)</f>
        <v>1.1380248329971687</v>
      </c>
      <c r="D34" s="235"/>
      <c r="G34" s="15"/>
    </row>
    <row r="35" spans="1:7">
      <c r="A35" s="173" t="s">
        <v>74</v>
      </c>
      <c r="B35" s="33">
        <f>IF((($B$28-$B$32-$B$39-$B$77-$B$38)*C21/100)&lt;0,0,($B$28-$B$32-$B$39-$B$77-$B$38)*C21/100)</f>
        <v>402.11538461538458</v>
      </c>
      <c r="C35" s="169">
        <f>IF(ISERROR(B35/SUM($B$32,$B$34,$B$35,$B$36,$B$38,$B$39)*100),0,B35/SUM($B$32,$B$34,$B$35,$B$36,$B$38,$B$39)*100)</f>
        <v>9.6732110804759337</v>
      </c>
      <c r="D35" s="235"/>
      <c r="G35" s="15"/>
    </row>
    <row r="36" spans="1:7">
      <c r="A36" s="173" t="s">
        <v>75</v>
      </c>
      <c r="B36" s="33">
        <f>IF((($B$28-$B$32-$B$39-$B$77-$B$38)*C22/100)&lt;0,0,($B$28-$B$32-$B$39-$B$77-$B$38)*C22/100)</f>
        <v>165.57692307692309</v>
      </c>
      <c r="C36" s="169">
        <f>IF(ISERROR(B36/SUM($B$32,$B$34,$B$35,$B$36,$B$38,$B$39)*100),0,B36/SUM($B$32,$B$34,$B$35,$B$36,$B$38,$B$39)*100)</f>
        <v>3.983086915490091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3542</v>
      </c>
      <c r="C44" s="34" t="s">
        <v>111</v>
      </c>
      <c r="D44" s="176"/>
    </row>
    <row r="45" spans="1:7">
      <c r="A45" s="173" t="s">
        <v>72</v>
      </c>
      <c r="B45" s="33" t="str">
        <f t="shared" si="0"/>
        <v>-</v>
      </c>
      <c r="C45" s="34" t="s">
        <v>111</v>
      </c>
      <c r="D45" s="176"/>
    </row>
    <row r="46" spans="1:7">
      <c r="A46" s="173" t="s">
        <v>73</v>
      </c>
      <c r="B46" s="33">
        <f t="shared" si="0"/>
        <v>47.307692307692307</v>
      </c>
      <c r="C46" s="34" t="s">
        <v>111</v>
      </c>
      <c r="D46" s="176"/>
    </row>
    <row r="47" spans="1:7">
      <c r="A47" s="173" t="s">
        <v>74</v>
      </c>
      <c r="B47" s="33">
        <f t="shared" si="0"/>
        <v>402.11538461538458</v>
      </c>
      <c r="C47" s="34" t="s">
        <v>111</v>
      </c>
      <c r="D47" s="176"/>
    </row>
    <row r="48" spans="1:7">
      <c r="A48" s="173" t="s">
        <v>75</v>
      </c>
      <c r="B48" s="33">
        <f t="shared" si="0"/>
        <v>165.57692307692309</v>
      </c>
      <c r="C48" s="33">
        <f>B48*10</f>
        <v>1655.7692307692309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6651.8649999999998</v>
      </c>
      <c r="C5" s="17">
        <f>IF(ISERROR('Eigen informatie GS &amp; warmtenet'!B58),0,'Eigen informatie GS &amp; warmtenet'!B58)</f>
        <v>0</v>
      </c>
      <c r="D5" s="30">
        <f>SUM(D6:D12)</f>
        <v>8561.0605959999994</v>
      </c>
      <c r="E5" s="17">
        <f>SUM(E6:E12)</f>
        <v>88.763499436223157</v>
      </c>
      <c r="F5" s="17">
        <f>SUM(F6:F12)</f>
        <v>1338.289458777678</v>
      </c>
      <c r="G5" s="18"/>
      <c r="H5" s="17"/>
      <c r="I5" s="17"/>
      <c r="J5" s="17">
        <f>SUM(J6:J12)</f>
        <v>0</v>
      </c>
      <c r="K5" s="17"/>
      <c r="L5" s="17"/>
      <c r="M5" s="17"/>
      <c r="N5" s="17">
        <f>SUM(N6:N12)</f>
        <v>753.65455866312902</v>
      </c>
      <c r="O5" s="17">
        <f>B38*B39*B40</f>
        <v>1.5633333333333335</v>
      </c>
      <c r="P5" s="17">
        <f>B46*B47*B48/1000-B46*B47*B48/1000/B49</f>
        <v>0</v>
      </c>
      <c r="R5" s="32"/>
    </row>
    <row r="6" spans="1:18">
      <c r="A6" s="32" t="s">
        <v>54</v>
      </c>
      <c r="B6" s="37">
        <f>B26</f>
        <v>1945.173</v>
      </c>
      <c r="C6" s="33"/>
      <c r="D6" s="37">
        <f>IF(ISERROR(TER_kantoor_gas_kWh/1000),0,TER_kantoor_gas_kWh/1000)*0.902</f>
        <v>4253.4558659999993</v>
      </c>
      <c r="E6" s="33">
        <f>$C$26*'E Balans VL '!I12/100/3.6*1000000</f>
        <v>7.557408922118559</v>
      </c>
      <c r="F6" s="33">
        <f>$C$26*('E Balans VL '!L12+'E Balans VL '!N12)/100/3.6*1000000</f>
        <v>295.84311363683958</v>
      </c>
      <c r="G6" s="34"/>
      <c r="H6" s="33"/>
      <c r="I6" s="33"/>
      <c r="J6" s="33">
        <f>$C$26*('E Balans VL '!D12+'E Balans VL '!E12)/100/3.6*1000000</f>
        <v>0</v>
      </c>
      <c r="K6" s="33"/>
      <c r="L6" s="33"/>
      <c r="M6" s="33"/>
      <c r="N6" s="33">
        <f>$C$26*'E Balans VL '!Y12/100/3.6*1000000</f>
        <v>1.0720233489866824</v>
      </c>
      <c r="O6" s="33"/>
      <c r="P6" s="33"/>
      <c r="R6" s="32"/>
    </row>
    <row r="7" spans="1:18">
      <c r="A7" s="32" t="s">
        <v>53</v>
      </c>
      <c r="B7" s="37">
        <f t="shared" ref="B7:B12" si="0">B27</f>
        <v>764.98500000000001</v>
      </c>
      <c r="C7" s="33"/>
      <c r="D7" s="37">
        <f>IF(ISERROR(TER_horeca_gas_kWh/1000),0,TER_horeca_gas_kWh/1000)*0.902</f>
        <v>1153.814948</v>
      </c>
      <c r="E7" s="33">
        <f>$C$27*'E Balans VL '!I9/100/3.6*1000000</f>
        <v>43.091809573103092</v>
      </c>
      <c r="F7" s="33">
        <f>$C$27*('E Balans VL '!L9+'E Balans VL '!N9)/100/3.6*1000000</f>
        <v>220.57587528298484</v>
      </c>
      <c r="G7" s="34"/>
      <c r="H7" s="33"/>
      <c r="I7" s="33"/>
      <c r="J7" s="33">
        <f>$C$27*('E Balans VL '!D9+'E Balans VL '!E9)/100/3.6*1000000</f>
        <v>0</v>
      </c>
      <c r="K7" s="33"/>
      <c r="L7" s="33"/>
      <c r="M7" s="33"/>
      <c r="N7" s="33">
        <f>$C$27*'E Balans VL '!Y9/100/3.6*1000000</f>
        <v>0.21120838326392222</v>
      </c>
      <c r="O7" s="33"/>
      <c r="P7" s="33"/>
      <c r="R7" s="32"/>
    </row>
    <row r="8" spans="1:18">
      <c r="A8" s="6" t="s">
        <v>52</v>
      </c>
      <c r="B8" s="37">
        <f t="shared" si="0"/>
        <v>2252.1990000000001</v>
      </c>
      <c r="C8" s="33"/>
      <c r="D8" s="37">
        <f>IF(ISERROR(TER_handel_gas_kWh/1000),0,TER_handel_gas_kWh/1000)*0.902</f>
        <v>1464.6531680000001</v>
      </c>
      <c r="E8" s="33">
        <f>$C$28*'E Balans VL '!I13/100/3.6*1000000</f>
        <v>32.461828541118223</v>
      </c>
      <c r="F8" s="33">
        <f>$C$28*('E Balans VL '!L13+'E Balans VL '!N13)/100/3.6*1000000</f>
        <v>391.25941647543237</v>
      </c>
      <c r="G8" s="34"/>
      <c r="H8" s="33"/>
      <c r="I8" s="33"/>
      <c r="J8" s="33">
        <f>$C$28*('E Balans VL '!D13+'E Balans VL '!E13)/100/3.6*1000000</f>
        <v>0</v>
      </c>
      <c r="K8" s="33"/>
      <c r="L8" s="33"/>
      <c r="M8" s="33"/>
      <c r="N8" s="33">
        <f>$C$28*'E Balans VL '!Y13/100/3.6*1000000</f>
        <v>6.7478389239575485</v>
      </c>
      <c r="O8" s="33"/>
      <c r="P8" s="33"/>
      <c r="R8" s="32"/>
    </row>
    <row r="9" spans="1:18">
      <c r="A9" s="32" t="s">
        <v>51</v>
      </c>
      <c r="B9" s="37">
        <f t="shared" si="0"/>
        <v>566.96699999999998</v>
      </c>
      <c r="C9" s="33"/>
      <c r="D9" s="37">
        <f>IF(ISERROR(TER_gezond_gas_kWh/1000),0,TER_gezond_gas_kWh/1000)*0.902</f>
        <v>788.82515799999999</v>
      </c>
      <c r="E9" s="33">
        <f>$C$29*'E Balans VL '!I10/100/3.6*1000000</f>
        <v>0.60566770844974227</v>
      </c>
      <c r="F9" s="33">
        <f>$C$29*('E Balans VL '!L10+'E Balans VL '!N10)/100/3.6*1000000</f>
        <v>92.489548473718898</v>
      </c>
      <c r="G9" s="34"/>
      <c r="H9" s="33"/>
      <c r="I9" s="33"/>
      <c r="J9" s="33">
        <f>$C$29*('E Balans VL '!D10+'E Balans VL '!E10)/100/3.6*1000000</f>
        <v>0</v>
      </c>
      <c r="K9" s="33"/>
      <c r="L9" s="33"/>
      <c r="M9" s="33"/>
      <c r="N9" s="33">
        <f>$C$29*'E Balans VL '!Y10/100/3.6*1000000</f>
        <v>5.8366017600838225</v>
      </c>
      <c r="O9" s="33"/>
      <c r="P9" s="33"/>
      <c r="R9" s="32"/>
    </row>
    <row r="10" spans="1:18">
      <c r="A10" s="32" t="s">
        <v>50</v>
      </c>
      <c r="B10" s="37">
        <f t="shared" si="0"/>
        <v>1061.7149999999999</v>
      </c>
      <c r="C10" s="33"/>
      <c r="D10" s="37">
        <f>IF(ISERROR(TER_ander_gas_kWh/1000),0,TER_ander_gas_kWh/1000)*0.902</f>
        <v>501.41368199999999</v>
      </c>
      <c r="E10" s="33">
        <f>$C$30*'E Balans VL '!I14/100/3.6*1000000</f>
        <v>4.882665786159853</v>
      </c>
      <c r="F10" s="33">
        <f>$C$30*('E Balans VL '!L14+'E Balans VL '!N14)/100/3.6*1000000</f>
        <v>318.22947500107927</v>
      </c>
      <c r="G10" s="34"/>
      <c r="H10" s="33"/>
      <c r="I10" s="33"/>
      <c r="J10" s="33">
        <f>$C$30*('E Balans VL '!D14+'E Balans VL '!E14)/100/3.6*1000000</f>
        <v>0</v>
      </c>
      <c r="K10" s="33"/>
      <c r="L10" s="33"/>
      <c r="M10" s="33"/>
      <c r="N10" s="33">
        <f>$C$30*'E Balans VL '!Y14/100/3.6*1000000</f>
        <v>739.02372462327492</v>
      </c>
      <c r="O10" s="33"/>
      <c r="P10" s="33"/>
      <c r="R10" s="32"/>
    </row>
    <row r="11" spans="1:18">
      <c r="A11" s="32" t="s">
        <v>55</v>
      </c>
      <c r="B11" s="37">
        <f t="shared" si="0"/>
        <v>51.212000000000003</v>
      </c>
      <c r="C11" s="33"/>
      <c r="D11" s="37">
        <f>IF(ISERROR(TER_onderwijs_gas_kWh/1000),0,TER_onderwijs_gas_kWh/1000)*0.902</f>
        <v>398.89777400000003</v>
      </c>
      <c r="E11" s="33">
        <f>$C$31*'E Balans VL '!I11/100/3.6*1000000</f>
        <v>4.7505864827550377E-2</v>
      </c>
      <c r="F11" s="33">
        <f>$C$31*('E Balans VL '!L11+'E Balans VL '!N11)/100/3.6*1000000</f>
        <v>17.989598576803505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9.6140000000000008</v>
      </c>
      <c r="C12" s="33"/>
      <c r="D12" s="37">
        <f>IF(ISERROR(TER_rest_gas_kWh/1000),0,TER_rest_gas_kWh/1000)*0.902</f>
        <v>0</v>
      </c>
      <c r="E12" s="33">
        <f>$C$32*'E Balans VL '!I8/100/3.6*1000000</f>
        <v>0.1166130404461443</v>
      </c>
      <c r="F12" s="33">
        <f>$C$32*('E Balans VL '!L8+'E Balans VL '!N8)/100/3.6*1000000</f>
        <v>1.9024313308195862</v>
      </c>
      <c r="G12" s="34"/>
      <c r="H12" s="33"/>
      <c r="I12" s="33"/>
      <c r="J12" s="33">
        <f>$C$32*('E Balans VL '!D8+'E Balans VL '!E8)/100/3.6*1000000</f>
        <v>0</v>
      </c>
      <c r="K12" s="33"/>
      <c r="L12" s="33"/>
      <c r="M12" s="33"/>
      <c r="N12" s="33">
        <f>$C$32*'E Balans VL '!Y8/100/3.6*1000000</f>
        <v>0.76316162356211603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6651.8649999999998</v>
      </c>
      <c r="C16" s="21">
        <f t="shared" ca="1" si="1"/>
        <v>0</v>
      </c>
      <c r="D16" s="21">
        <f t="shared" ca="1" si="1"/>
        <v>8561.0605959999994</v>
      </c>
      <c r="E16" s="21">
        <f t="shared" si="1"/>
        <v>88.763499436223157</v>
      </c>
      <c r="F16" s="21">
        <f t="shared" ca="1" si="1"/>
        <v>1338.289458777678</v>
      </c>
      <c r="G16" s="21">
        <f t="shared" si="1"/>
        <v>0</v>
      </c>
      <c r="H16" s="21">
        <f t="shared" si="1"/>
        <v>0</v>
      </c>
      <c r="I16" s="21">
        <f t="shared" si="1"/>
        <v>0</v>
      </c>
      <c r="J16" s="21">
        <f t="shared" si="1"/>
        <v>0</v>
      </c>
      <c r="K16" s="21">
        <f t="shared" si="1"/>
        <v>0</v>
      </c>
      <c r="L16" s="21">
        <f t="shared" ca="1" si="1"/>
        <v>0</v>
      </c>
      <c r="M16" s="21">
        <f t="shared" si="1"/>
        <v>0</v>
      </c>
      <c r="N16" s="21">
        <f t="shared" ca="1" si="1"/>
        <v>753.65455866312902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0.20279389091826036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1348.957585212994</v>
      </c>
      <c r="C20" s="23">
        <f t="shared" ref="C20:P20" ca="1" si="2">C16*C18</f>
        <v>0</v>
      </c>
      <c r="D20" s="23">
        <f t="shared" ca="1" si="2"/>
        <v>1729.3342403920001</v>
      </c>
      <c r="E20" s="23">
        <f t="shared" si="2"/>
        <v>20.149314372022658</v>
      </c>
      <c r="F20" s="23">
        <f t="shared" ca="1" si="2"/>
        <v>357.32328549364001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1945.173</v>
      </c>
      <c r="C26" s="39">
        <f>IF(ISERROR(B26*3.6/1000000/'E Balans VL '!Z12*100),0,B26*3.6/1000000/'E Balans VL '!Z12*100)</f>
        <v>4.1316438033449164E-2</v>
      </c>
      <c r="D26" s="239" t="s">
        <v>692</v>
      </c>
      <c r="F26" s="6"/>
    </row>
    <row r="27" spans="1:18">
      <c r="A27" s="233" t="s">
        <v>53</v>
      </c>
      <c r="B27" s="33">
        <f>IF(ISERROR(TER_horeca_ele_kWh/1000),0,TER_horeca_ele_kWh/1000)</f>
        <v>764.98500000000001</v>
      </c>
      <c r="C27" s="39">
        <f>IF(ISERROR(B27*3.6/1000000/'E Balans VL '!Z9*100),0,B27*3.6/1000000/'E Balans VL '!Z9*100)</f>
        <v>5.9482242568545091E-2</v>
      </c>
      <c r="D27" s="239" t="s">
        <v>692</v>
      </c>
      <c r="F27" s="6"/>
    </row>
    <row r="28" spans="1:18">
      <c r="A28" s="173" t="s">
        <v>52</v>
      </c>
      <c r="B28" s="33">
        <f>IF(ISERROR(TER_handel_ele_kWh/1000),0,TER_handel_ele_kWh/1000)</f>
        <v>2252.1990000000001</v>
      </c>
      <c r="C28" s="39">
        <f>IF(ISERROR(B28*3.6/1000000/'E Balans VL '!Z13*100),0,B28*3.6/1000000/'E Balans VL '!Z13*100)</f>
        <v>6.4438063963072709E-2</v>
      </c>
      <c r="D28" s="239" t="s">
        <v>692</v>
      </c>
      <c r="F28" s="6"/>
    </row>
    <row r="29" spans="1:18">
      <c r="A29" s="233" t="s">
        <v>51</v>
      </c>
      <c r="B29" s="33">
        <f>IF(ISERROR(TER_gezond_ele_kWh/1000),0,TER_gezond_ele_kWh/1000)</f>
        <v>566.96699999999998</v>
      </c>
      <c r="C29" s="39">
        <f>IF(ISERROR(B29*3.6/1000000/'E Balans VL '!Z10*100),0,B29*3.6/1000000/'E Balans VL '!Z10*100)</f>
        <v>6.1812577733010216E-2</v>
      </c>
      <c r="D29" s="239" t="s">
        <v>692</v>
      </c>
      <c r="F29" s="6"/>
    </row>
    <row r="30" spans="1:18">
      <c r="A30" s="233" t="s">
        <v>50</v>
      </c>
      <c r="B30" s="33">
        <f>IF(ISERROR(TER_ander_ele_kWh/1000),0,TER_ander_ele_kWh/1000)</f>
        <v>1061.7149999999999</v>
      </c>
      <c r="C30" s="39">
        <f>IF(ISERROR(B30*3.6/1000000/'E Balans VL '!Z14*100),0,B30*3.6/1000000/'E Balans VL '!Z14*100)</f>
        <v>7.7693895256615714E-2</v>
      </c>
      <c r="D30" s="239" t="s">
        <v>692</v>
      </c>
      <c r="F30" s="6"/>
    </row>
    <row r="31" spans="1:18">
      <c r="A31" s="233" t="s">
        <v>55</v>
      </c>
      <c r="B31" s="33">
        <f>IF(ISERROR(TER_onderwijs_ele_kWh/1000),0,TER_onderwijs_ele_kWh/1000)</f>
        <v>51.212000000000003</v>
      </c>
      <c r="C31" s="39">
        <f>IF(ISERROR(B31*3.6/1000000/'E Balans VL '!Z11*100),0,B31*3.6/1000000/'E Balans VL '!Z11*100)</f>
        <v>1.0285968228982555E-2</v>
      </c>
      <c r="D31" s="239" t="s">
        <v>692</v>
      </c>
    </row>
    <row r="32" spans="1:18">
      <c r="A32" s="233" t="s">
        <v>260</v>
      </c>
      <c r="B32" s="33">
        <f>IF(ISERROR(TER_rest_ele_kWh/1000),0,TER_rest_ele_kWh/1000)</f>
        <v>9.6140000000000008</v>
      </c>
      <c r="C32" s="39">
        <f>IF(ISERROR(B32*3.6/1000000/'E Balans VL '!Z8*100),0,B32*3.6/1000000/'E Balans VL '!Z8*100)</f>
        <v>7.8348265559843202E-5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569.20299999999997</v>
      </c>
      <c r="C5" s="17">
        <f>IF(ISERROR('Eigen informatie GS &amp; warmtenet'!B59),0,'Eigen informatie GS &amp; warmtenet'!B59)</f>
        <v>0</v>
      </c>
      <c r="D5" s="30">
        <f>SUM(D6:D15)</f>
        <v>808.30024000000014</v>
      </c>
      <c r="E5" s="17">
        <f>SUM(E6:E15)</f>
        <v>65.9790144329356</v>
      </c>
      <c r="F5" s="17">
        <f>SUM(F6:F15)</f>
        <v>399.42305351062589</v>
      </c>
      <c r="G5" s="18"/>
      <c r="H5" s="17"/>
      <c r="I5" s="17"/>
      <c r="J5" s="17">
        <f>SUM(J6:J15)</f>
        <v>8.2240572410228516E-2</v>
      </c>
      <c r="K5" s="17"/>
      <c r="L5" s="17"/>
      <c r="M5" s="17"/>
      <c r="N5" s="17">
        <f>SUM(N6:N15)</f>
        <v>122.14082996582805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179.886</v>
      </c>
      <c r="C9" s="33"/>
      <c r="D9" s="37">
        <f>IF( ISERROR(IND_andere_gas_kWh/1000),0,IND_andere_gas_kWh/1000)*0.902</f>
        <v>428.32552400000003</v>
      </c>
      <c r="E9" s="33">
        <f>C31*'E Balans VL '!I19/100/3.6*1000000</f>
        <v>48.690717335642383</v>
      </c>
      <c r="F9" s="33">
        <f>C31*'E Balans VL '!L19/100/3.6*1000000+C31*'E Balans VL '!N19/100/3.6*1000000</f>
        <v>119.8231119152171</v>
      </c>
      <c r="G9" s="34"/>
      <c r="H9" s="33"/>
      <c r="I9" s="33"/>
      <c r="J9" s="40">
        <f>C31*'E Balans VL '!D19/100/3.6*1000000+C31*'E Balans VL '!E19/100/3.6*1000000</f>
        <v>0</v>
      </c>
      <c r="K9" s="33"/>
      <c r="L9" s="33"/>
      <c r="M9" s="33"/>
      <c r="N9" s="33">
        <f>C31*'E Balans VL '!Y19/100/3.6*1000000</f>
        <v>58.729790837720422</v>
      </c>
      <c r="O9" s="33"/>
      <c r="P9" s="33"/>
      <c r="R9" s="32"/>
    </row>
    <row r="10" spans="1:18">
      <c r="A10" s="6" t="s">
        <v>41</v>
      </c>
      <c r="B10" s="37">
        <f t="shared" si="0"/>
        <v>180.34800000000001</v>
      </c>
      <c r="C10" s="33"/>
      <c r="D10" s="37">
        <f>IF( ISERROR(IND_voed_gas_kWh/1000),0,IND_voed_gas_kWh/1000)*0.902</f>
        <v>197.42254400000002</v>
      </c>
      <c r="E10" s="33">
        <f>C32*'E Balans VL '!I20/100/3.6*1000000</f>
        <v>14.709597218748348</v>
      </c>
      <c r="F10" s="33">
        <f>C32*'E Balans VL '!L20/100/3.6*1000000+C32*'E Balans VL '!N20/100/3.6*1000000</f>
        <v>268.91523060427255</v>
      </c>
      <c r="G10" s="34"/>
      <c r="H10" s="33"/>
      <c r="I10" s="33"/>
      <c r="J10" s="40">
        <f>C32*'E Balans VL '!D20/100/3.6*1000000+C32*'E Balans VL '!E20/100/3.6*1000000</f>
        <v>2.3857851268953272E-3</v>
      </c>
      <c r="K10" s="33"/>
      <c r="L10" s="33"/>
      <c r="M10" s="33"/>
      <c r="N10" s="33">
        <f>C32*'E Balans VL '!Y20/100/3.6*1000000</f>
        <v>52.979878605274372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177.81299999999999</v>
      </c>
      <c r="C14" s="33"/>
      <c r="D14" s="37">
        <f>IF( ISERROR(IND_chemie_gas_kWh/1000),0,IND_chemie_gas_kWh/1000)*0.902</f>
        <v>0</v>
      </c>
      <c r="E14" s="33">
        <f>C36*'E Balans VL '!I24/100/3.6*1000000</f>
        <v>0.84056380686741228</v>
      </c>
      <c r="F14" s="33">
        <f>C36*'E Balans VL '!L24/100/3.6*1000000+C36*'E Balans VL '!N24/100/3.6*1000000</f>
        <v>3.3605702569066449</v>
      </c>
      <c r="G14" s="34"/>
      <c r="H14" s="33"/>
      <c r="I14" s="33"/>
      <c r="J14" s="40">
        <f>C36*'E Balans VL '!D24/100/3.6*1000000+C36*'E Balans VL '!E24/100/3.6*1000000</f>
        <v>0</v>
      </c>
      <c r="K14" s="33"/>
      <c r="L14" s="33"/>
      <c r="M14" s="33"/>
      <c r="N14" s="33">
        <f>C36*'E Balans VL '!Y24/100/3.6*1000000</f>
        <v>4.3166980930810803</v>
      </c>
      <c r="O14" s="33"/>
      <c r="P14" s="33"/>
      <c r="R14" s="32"/>
    </row>
    <row r="15" spans="1:18">
      <c r="A15" s="6" t="s">
        <v>270</v>
      </c>
      <c r="B15" s="37">
        <f t="shared" si="0"/>
        <v>31.155999999999999</v>
      </c>
      <c r="C15" s="33"/>
      <c r="D15" s="37">
        <f>IF( ISERROR(IND_rest_gas_kWh/1000),0,IND_rest_gas_kWh/1000)*0.902</f>
        <v>182.55217200000001</v>
      </c>
      <c r="E15" s="33">
        <f>C37*'E Balans VL '!I15/100/3.6*1000000</f>
        <v>1.7381360716774557</v>
      </c>
      <c r="F15" s="33">
        <f>C37*'E Balans VL '!L15/100/3.6*1000000+C37*'E Balans VL '!N15/100/3.6*1000000</f>
        <v>7.3241407342295428</v>
      </c>
      <c r="G15" s="34"/>
      <c r="H15" s="33"/>
      <c r="I15" s="33"/>
      <c r="J15" s="40">
        <f>C37*'E Balans VL '!D15/100/3.6*1000000+C37*'E Balans VL '!E15/100/3.6*1000000</f>
        <v>7.9854787283333187E-2</v>
      </c>
      <c r="K15" s="33"/>
      <c r="L15" s="33"/>
      <c r="M15" s="33"/>
      <c r="N15" s="33">
        <f>C37*'E Balans VL '!Y15/100/3.6*1000000</f>
        <v>6.1144624297521677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569.20299999999997</v>
      </c>
      <c r="C18" s="21">
        <f>C5+C16</f>
        <v>0</v>
      </c>
      <c r="D18" s="21">
        <f>MAX((D5+D16),0)</f>
        <v>808.30024000000014</v>
      </c>
      <c r="E18" s="21">
        <f>MAX((E5+E16),0)</f>
        <v>65.9790144329356</v>
      </c>
      <c r="F18" s="21">
        <f>MAX((F5+F16),0)</f>
        <v>399.42305351062589</v>
      </c>
      <c r="G18" s="21"/>
      <c r="H18" s="21"/>
      <c r="I18" s="21"/>
      <c r="J18" s="21">
        <f>MAX((J5+J16),0)</f>
        <v>8.2240572410228516E-2</v>
      </c>
      <c r="K18" s="21"/>
      <c r="L18" s="21">
        <f>MAX((L5+L16),0)</f>
        <v>0</v>
      </c>
      <c r="M18" s="21"/>
      <c r="N18" s="21">
        <f>MAX((N5+N16),0)</f>
        <v>122.14082996582805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0.20279389091826036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115.43089109234654</v>
      </c>
      <c r="C22" s="23">
        <f ca="1">C18*C20</f>
        <v>0</v>
      </c>
      <c r="D22" s="23">
        <f>D18*D20</f>
        <v>163.27664848000003</v>
      </c>
      <c r="E22" s="23">
        <f>E18*E20</f>
        <v>14.977236276276381</v>
      </c>
      <c r="F22" s="23">
        <f>F18*F20</f>
        <v>106.64595528733712</v>
      </c>
      <c r="G22" s="23"/>
      <c r="H22" s="23"/>
      <c r="I22" s="23"/>
      <c r="J22" s="23">
        <f>J18*J20</f>
        <v>2.9113162633220894E-2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179.886</v>
      </c>
      <c r="C31" s="39">
        <f>IF(ISERROR(B31*3.6/1000000/'E Balans VL '!Z19*100),0,B31*3.6/1000000/'E Balans VL '!Z19*100)</f>
        <v>7.833891806351306E-3</v>
      </c>
      <c r="D31" s="239" t="s">
        <v>692</v>
      </c>
    </row>
    <row r="32" spans="1:18">
      <c r="A32" s="173" t="s">
        <v>41</v>
      </c>
      <c r="B32" s="37">
        <f>IF( ISERROR(IND_voed_ele_kWh/1000),0,IND_voed_ele_kWh/1000)</f>
        <v>180.34800000000001</v>
      </c>
      <c r="C32" s="39">
        <f>IF(ISERROR(B32*3.6/1000000/'E Balans VL '!Z20*100),0,B32*3.6/1000000/'E Balans VL '!Z20*100)</f>
        <v>3.4218432098895774E-2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177.81299999999999</v>
      </c>
      <c r="C36" s="39">
        <f>IF(ISERROR(B36*3.6/1000000/'E Balans VL '!Z24*100),0,B36*3.6/1000000/'E Balans VL '!Z24*100)</f>
        <v>5.1819962471789174E-3</v>
      </c>
      <c r="D36" s="239" t="s">
        <v>692</v>
      </c>
    </row>
    <row r="37" spans="1:5">
      <c r="A37" s="173" t="s">
        <v>270</v>
      </c>
      <c r="B37" s="37">
        <f>IF( ISERROR(IND_rest_ele_kWh/1000),0,IND_rest_ele_kWh/1000)</f>
        <v>31.155999999999999</v>
      </c>
      <c r="C37" s="39">
        <f>IF(ISERROR(B37*3.6/1000000/'E Balans VL '!Z15*100),0,B37*3.6/1000000/'E Balans VL '!Z15*100)</f>
        <v>2.4009524745601505E-4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113.31699999999999</v>
      </c>
      <c r="C5" s="17">
        <f>'Eigen informatie GS &amp; warmtenet'!B60</f>
        <v>0</v>
      </c>
      <c r="D5" s="30">
        <f>IF(ISERROR(SUM(LB_lb_gas_kWh,LB_rest_gas_kWh)/1000),0,SUM(LB_lb_gas_kWh,LB_rest_gas_kWh)/1000)*0.902</f>
        <v>9.5972800000000014</v>
      </c>
      <c r="E5" s="17">
        <f>B17*'E Balans VL '!I25/3.6*1000000/100</f>
        <v>1.4279401819771396</v>
      </c>
      <c r="F5" s="17">
        <f>B17*('E Balans VL '!L25/3.6*1000000+'E Balans VL '!N25/3.6*1000000)/100</f>
        <v>390.972037604729</v>
      </c>
      <c r="G5" s="18"/>
      <c r="H5" s="17"/>
      <c r="I5" s="17"/>
      <c r="J5" s="17">
        <f>('E Balans VL '!D25+'E Balans VL '!E25)/3.6*1000000*landbouw!B17/100</f>
        <v>17.04158865780677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113.31699999999999</v>
      </c>
      <c r="C8" s="21">
        <f>C5+C6</f>
        <v>0</v>
      </c>
      <c r="D8" s="21">
        <f>MAX((D5+D6),0)</f>
        <v>9.5972800000000014</v>
      </c>
      <c r="E8" s="21">
        <f>MAX((E5+E6),0)</f>
        <v>1.4279401819771396</v>
      </c>
      <c r="F8" s="21">
        <f>MAX((F5+F6),0)</f>
        <v>390.972037604729</v>
      </c>
      <c r="G8" s="21"/>
      <c r="H8" s="21"/>
      <c r="I8" s="21"/>
      <c r="J8" s="21">
        <f>MAX((J5+J6),0)</f>
        <v>17.04158865780677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0.20279389091826036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22.979995337184508</v>
      </c>
      <c r="C12" s="23">
        <f ca="1">C8*C10</f>
        <v>0</v>
      </c>
      <c r="D12" s="23">
        <f>D8*D10</f>
        <v>1.9386505600000004</v>
      </c>
      <c r="E12" s="23">
        <f>E8*E10</f>
        <v>0.32414242130881071</v>
      </c>
      <c r="F12" s="23">
        <f>F8*F10</f>
        <v>104.38953404046265</v>
      </c>
      <c r="G12" s="23"/>
      <c r="H12" s="23"/>
      <c r="I12" s="23"/>
      <c r="J12" s="23">
        <f>J8*J10</f>
        <v>6.0327223848635958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1.5804149955474946E-2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15.170079085696273</v>
      </c>
      <c r="C26" s="249">
        <f>B26*'GWP N2O_CH4'!B5</f>
        <v>318.57166079962172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7.545384798303858</v>
      </c>
      <c r="C27" s="249">
        <f>B27*'GWP N2O_CH4'!B5</f>
        <v>158.45308076438101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0.71951260340928735</v>
      </c>
      <c r="C28" s="249">
        <f>B28*'GWP N2O_CH4'!B4</f>
        <v>223.04890705687907</v>
      </c>
      <c r="D28" s="50"/>
    </row>
    <row r="29" spans="1:4">
      <c r="A29" s="41" t="s">
        <v>277</v>
      </c>
      <c r="B29" s="249">
        <f>B34*'ha_N2O bodem landbouw'!B4</f>
        <v>1.0424092272437355</v>
      </c>
      <c r="C29" s="249">
        <f>B29*'GWP N2O_CH4'!B4</f>
        <v>323.14686044555799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2.6027916799904814E-4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1.3659681084712953E-5</v>
      </c>
      <c r="C5" s="448" t="s">
        <v>211</v>
      </c>
      <c r="D5" s="433">
        <f>SUM(D6:D11)</f>
        <v>2.2813314639932787E-5</v>
      </c>
      <c r="E5" s="433">
        <f>SUM(E6:E11)</f>
        <v>7.8774171353281899E-4</v>
      </c>
      <c r="F5" s="446" t="s">
        <v>211</v>
      </c>
      <c r="G5" s="433">
        <f>SUM(G6:G11)</f>
        <v>0.2367654376560972</v>
      </c>
      <c r="H5" s="433">
        <f>SUM(H6:H11)</f>
        <v>3.4905410956038781E-2</v>
      </c>
      <c r="I5" s="448" t="s">
        <v>211</v>
      </c>
      <c r="J5" s="448" t="s">
        <v>211</v>
      </c>
      <c r="K5" s="448" t="s">
        <v>211</v>
      </c>
      <c r="L5" s="448" t="s">
        <v>211</v>
      </c>
      <c r="M5" s="433">
        <f>SUM(M6:M11)</f>
        <v>1.2277134125317678E-2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3.3316489313747627E-6</v>
      </c>
      <c r="C6" s="887"/>
      <c r="D6" s="887">
        <f>vkm_2011_GW_PW*SUMIFS(TableVerdeelsleutelVkm[CNG],TableVerdeelsleutelVkm[Voertuigtype],"Lichte voertuigen")*SUMIFS(TableECFTransport[EnergieConsumptieFactor (PJ per km)],TableECFTransport[Index],CONCATENATE($A6,"_CNG_CNG"))</f>
        <v>4.7182664927717811E-6</v>
      </c>
      <c r="E6" s="887">
        <f>vkm_2011_GW_PW*SUMIFS(TableVerdeelsleutelVkm[LPG],TableVerdeelsleutelVkm[Voertuigtype],"Lichte voertuigen")*SUMIFS(TableECFTransport[EnergieConsumptieFactor (PJ per km)],TableECFTransport[Index],CONCATENATE($A6,"_LPG_LPG"))</f>
        <v>1.4818521759459453E-4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2.6632941215191042E-2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7.1365109033022346E-3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1.5278379165148018E-3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1.286989502304932E-2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4.5725402825443958E-6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5.807776319818142E-4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2.7032450321934154E-6</v>
      </c>
      <c r="C8" s="887"/>
      <c r="D8" s="436">
        <f>vkm_2011_NGW_PW*SUMIFS(TableVerdeelsleutelVkm[CNG],TableVerdeelsleutelVkm[Voertuigtype],"Lichte voertuigen")*SUMIFS(TableECFTransport[EnergieConsumptieFactor (PJ per km)],TableECFTransport[Index],CONCATENATE($A8,"_CNG_CNG"))</f>
        <v>6.8202238915839173E-6</v>
      </c>
      <c r="E8" s="436">
        <f>vkm_2011_NGW_PW*SUMIFS(TableVerdeelsleutelVkm[LPG],TableVerdeelsleutelVkm[Voertuigtype],"Lichte voertuigen")*SUMIFS(TableECFTransport[EnergieConsumptieFactor (PJ per km)],TableECFTransport[Index],CONCATENATE($A8,"_LPG_LPG"))</f>
        <v>1.9729374198188083E-4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3.3443202422673381E-2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9.9537136005840906E-3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1.963906246411704E-3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1.0738964020675199E-3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3.6105189166048866E-7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4.8460608695933311E-5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7.6247871211447736E-6</v>
      </c>
      <c r="C10" s="887"/>
      <c r="D10" s="436">
        <f>vkm_2011_SW_PW*SUMIFS(TableVerdeelsleutelVkm[CNG],TableVerdeelsleutelVkm[Voertuigtype],"Lichte voertuigen")*SUMIFS(TableECFTransport[EnergieConsumptieFactor (PJ per km)],TableECFTransport[Index],CONCATENATE($A10,"_CNG_CNG"))</f>
        <v>1.1274824255577087E-5</v>
      </c>
      <c r="E10" s="436">
        <f>vkm_2011_SW_PW*SUMIFS(TableVerdeelsleutelVkm[LPG],TableVerdeelsleutelVkm[Voertuigtype],"Lichte voertuigen")*SUMIFS(TableECFTransport[EnergieConsumptieFactor (PJ per km)],TableECFTransport[Index],CONCATENATE($A10,"_LPG_LPG"))</f>
        <v>4.4226275395634361E-4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7.198737461595589E-2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1.7775479433152063E-2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4.0604090096622537E-3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9.0758127977160041E-2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3.4773426826179687E-5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4.0957427120511701E-3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3.7943558568647089</v>
      </c>
      <c r="C14" s="21"/>
      <c r="D14" s="21">
        <f t="shared" ref="D14:M14" si="0">((D5)*10^9/3600)+D12</f>
        <v>6.3370318444257743</v>
      </c>
      <c r="E14" s="21">
        <f t="shared" si="0"/>
        <v>218.81714264800527</v>
      </c>
      <c r="F14" s="21"/>
      <c r="G14" s="21">
        <f t="shared" si="0"/>
        <v>65768.17712669367</v>
      </c>
      <c r="H14" s="21">
        <f t="shared" si="0"/>
        <v>9695.9474877885496</v>
      </c>
      <c r="I14" s="21"/>
      <c r="J14" s="21"/>
      <c r="K14" s="21"/>
      <c r="L14" s="21"/>
      <c r="M14" s="21">
        <f t="shared" si="0"/>
        <v>3410.3150348104659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0.20279389091826036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0.76947218774208415</v>
      </c>
      <c r="C18" s="23"/>
      <c r="D18" s="23">
        <f t="shared" ref="D18:M18" si="1">D14*D16</f>
        <v>1.2800804325740065</v>
      </c>
      <c r="E18" s="23">
        <f t="shared" si="1"/>
        <v>49.671491381097198</v>
      </c>
      <c r="F18" s="23"/>
      <c r="G18" s="23">
        <f t="shared" si="1"/>
        <v>17560.103292827211</v>
      </c>
      <c r="H18" s="23">
        <f t="shared" si="1"/>
        <v>2414.2909244593488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4.5966374576634971E-3</v>
      </c>
      <c r="H50" s="323">
        <f t="shared" si="2"/>
        <v>0</v>
      </c>
      <c r="I50" s="323">
        <f t="shared" si="2"/>
        <v>0</v>
      </c>
      <c r="J50" s="323">
        <f t="shared" si="2"/>
        <v>0</v>
      </c>
      <c r="K50" s="323">
        <f t="shared" si="2"/>
        <v>0</v>
      </c>
      <c r="L50" s="323">
        <f t="shared" si="2"/>
        <v>0</v>
      </c>
      <c r="M50" s="323">
        <f t="shared" si="2"/>
        <v>2.0442371073313892E-4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4.5966374576634971E-3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2.0442371073313892E-4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1276.8437382398602</v>
      </c>
      <c r="H54" s="21">
        <f t="shared" si="3"/>
        <v>0</v>
      </c>
      <c r="I54" s="21">
        <f t="shared" si="3"/>
        <v>0</v>
      </c>
      <c r="J54" s="21">
        <f t="shared" si="3"/>
        <v>0</v>
      </c>
      <c r="K54" s="21">
        <f t="shared" si="3"/>
        <v>0</v>
      </c>
      <c r="L54" s="21">
        <f t="shared" si="3"/>
        <v>0</v>
      </c>
      <c r="M54" s="21">
        <f t="shared" si="3"/>
        <v>56.784364092538588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0.20279389091826036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340.91727811004267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7178.9449999999997</v>
      </c>
      <c r="D10" s="690">
        <f ca="1">tertiair!C16</f>
        <v>0</v>
      </c>
      <c r="E10" s="690">
        <f ca="1">tertiair!D16</f>
        <v>8561.0605959999994</v>
      </c>
      <c r="F10" s="690">
        <f>tertiair!E16</f>
        <v>88.763499436223157</v>
      </c>
      <c r="G10" s="690">
        <f ca="1">tertiair!F16</f>
        <v>1338.289458777678</v>
      </c>
      <c r="H10" s="690">
        <f>tertiair!G16</f>
        <v>0</v>
      </c>
      <c r="I10" s="690">
        <f>tertiair!H16</f>
        <v>0</v>
      </c>
      <c r="J10" s="690">
        <f>tertiair!I16</f>
        <v>0</v>
      </c>
      <c r="K10" s="690">
        <f>tertiair!J16</f>
        <v>0</v>
      </c>
      <c r="L10" s="690">
        <f>tertiair!K16</f>
        <v>0</v>
      </c>
      <c r="M10" s="690">
        <f ca="1">tertiair!L16</f>
        <v>0</v>
      </c>
      <c r="N10" s="690">
        <f>tertiair!M16</f>
        <v>0</v>
      </c>
      <c r="O10" s="690">
        <f ca="1">tertiair!N16</f>
        <v>753.65455866312902</v>
      </c>
      <c r="P10" s="690">
        <f>tertiair!O16</f>
        <v>1.5633333333333335</v>
      </c>
      <c r="Q10" s="691">
        <f>tertiair!P16</f>
        <v>0</v>
      </c>
      <c r="R10" s="693">
        <f ca="1">SUM(C10:Q10)</f>
        <v>17922.276446210362</v>
      </c>
      <c r="S10" s="67"/>
    </row>
    <row r="11" spans="1:19" s="458" customFormat="1">
      <c r="A11" s="805" t="s">
        <v>225</v>
      </c>
      <c r="B11" s="810"/>
      <c r="C11" s="690">
        <f>huishoudens!B8</f>
        <v>19410.224000000002</v>
      </c>
      <c r="D11" s="690">
        <f>huishoudens!C8</f>
        <v>0</v>
      </c>
      <c r="E11" s="690">
        <f>huishoudens!D8</f>
        <v>65139.716796518282</v>
      </c>
      <c r="F11" s="690">
        <f>huishoudens!E8</f>
        <v>985.78365086378096</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12934.709594271719</v>
      </c>
      <c r="P11" s="690">
        <f>huishoudens!O8</f>
        <v>128.19333333333336</v>
      </c>
      <c r="Q11" s="691">
        <f>huishoudens!P8</f>
        <v>629.20000000000005</v>
      </c>
      <c r="R11" s="693">
        <f>SUM(C11:Q11)</f>
        <v>99227.827374987115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569.20299999999997</v>
      </c>
      <c r="D13" s="690">
        <f>industrie!C18</f>
        <v>0</v>
      </c>
      <c r="E13" s="690">
        <f>industrie!D18</f>
        <v>808.30024000000014</v>
      </c>
      <c r="F13" s="690">
        <f>industrie!E18</f>
        <v>65.9790144329356</v>
      </c>
      <c r="G13" s="690">
        <f>industrie!F18</f>
        <v>399.42305351062589</v>
      </c>
      <c r="H13" s="690">
        <f>industrie!G18</f>
        <v>0</v>
      </c>
      <c r="I13" s="690">
        <f>industrie!H18</f>
        <v>0</v>
      </c>
      <c r="J13" s="690">
        <f>industrie!I18</f>
        <v>0</v>
      </c>
      <c r="K13" s="690">
        <f>industrie!J18</f>
        <v>8.2240572410228516E-2</v>
      </c>
      <c r="L13" s="690">
        <f>industrie!K18</f>
        <v>0</v>
      </c>
      <c r="M13" s="690">
        <f>industrie!L18</f>
        <v>0</v>
      </c>
      <c r="N13" s="690">
        <f>industrie!M18</f>
        <v>0</v>
      </c>
      <c r="O13" s="690">
        <f>industrie!N18</f>
        <v>122.14082996582805</v>
      </c>
      <c r="P13" s="690">
        <f>industrie!O18</f>
        <v>0</v>
      </c>
      <c r="Q13" s="691">
        <f>industrie!P18</f>
        <v>0</v>
      </c>
      <c r="R13" s="693">
        <f>SUM(C13:Q13)</f>
        <v>1965.1283784817999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27158.372000000003</v>
      </c>
      <c r="D16" s="725">
        <f t="shared" ref="D16:R16" ca="1" si="0">SUM(D9:D15)</f>
        <v>0</v>
      </c>
      <c r="E16" s="725">
        <f t="shared" ca="1" si="0"/>
        <v>74509.077632518281</v>
      </c>
      <c r="F16" s="725">
        <f t="shared" si="0"/>
        <v>1140.5261647329398</v>
      </c>
      <c r="G16" s="725">
        <f t="shared" ca="1" si="0"/>
        <v>1737.712512288304</v>
      </c>
      <c r="H16" s="725">
        <f t="shared" si="0"/>
        <v>0</v>
      </c>
      <c r="I16" s="725">
        <f t="shared" si="0"/>
        <v>0</v>
      </c>
      <c r="J16" s="725">
        <f t="shared" si="0"/>
        <v>0</v>
      </c>
      <c r="K16" s="725">
        <f t="shared" si="0"/>
        <v>8.2240572410228516E-2</v>
      </c>
      <c r="L16" s="725">
        <f t="shared" si="0"/>
        <v>0</v>
      </c>
      <c r="M16" s="725">
        <f t="shared" ca="1" si="0"/>
        <v>0</v>
      </c>
      <c r="N16" s="725">
        <f t="shared" si="0"/>
        <v>0</v>
      </c>
      <c r="O16" s="725">
        <f t="shared" ca="1" si="0"/>
        <v>13810.504982900677</v>
      </c>
      <c r="P16" s="725">
        <f t="shared" si="0"/>
        <v>129.75666666666669</v>
      </c>
      <c r="Q16" s="725">
        <f t="shared" si="0"/>
        <v>629.20000000000005</v>
      </c>
      <c r="R16" s="725">
        <f t="shared" ca="1" si="0"/>
        <v>119115.23219967927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1276.8437382398602</v>
      </c>
      <c r="I19" s="690">
        <f>transport!H54</f>
        <v>0</v>
      </c>
      <c r="J19" s="690">
        <f>transport!I54</f>
        <v>0</v>
      </c>
      <c r="K19" s="690">
        <f>transport!J54</f>
        <v>0</v>
      </c>
      <c r="L19" s="690">
        <f>transport!K54</f>
        <v>0</v>
      </c>
      <c r="M19" s="690">
        <f>transport!L54</f>
        <v>0</v>
      </c>
      <c r="N19" s="690">
        <f>transport!M54</f>
        <v>56.784364092538588</v>
      </c>
      <c r="O19" s="690">
        <f>transport!N54</f>
        <v>0</v>
      </c>
      <c r="P19" s="690">
        <f>transport!O54</f>
        <v>0</v>
      </c>
      <c r="Q19" s="691">
        <f>transport!P54</f>
        <v>0</v>
      </c>
      <c r="R19" s="693">
        <f>SUM(C19:Q19)</f>
        <v>1333.6281023323988</v>
      </c>
      <c r="S19" s="67"/>
    </row>
    <row r="20" spans="1:19" s="458" customFormat="1">
      <c r="A20" s="805" t="s">
        <v>307</v>
      </c>
      <c r="B20" s="810"/>
      <c r="C20" s="690">
        <f>transport!B14</f>
        <v>3.7943558568647089</v>
      </c>
      <c r="D20" s="690">
        <f>transport!C14</f>
        <v>0</v>
      </c>
      <c r="E20" s="690">
        <f>transport!D14</f>
        <v>6.3370318444257743</v>
      </c>
      <c r="F20" s="690">
        <f>transport!E14</f>
        <v>218.81714264800527</v>
      </c>
      <c r="G20" s="690">
        <f>transport!F14</f>
        <v>0</v>
      </c>
      <c r="H20" s="690">
        <f>transport!G14</f>
        <v>65768.17712669367</v>
      </c>
      <c r="I20" s="690">
        <f>transport!H14</f>
        <v>9695.9474877885496</v>
      </c>
      <c r="J20" s="690">
        <f>transport!I14</f>
        <v>0</v>
      </c>
      <c r="K20" s="690">
        <f>transport!J14</f>
        <v>0</v>
      </c>
      <c r="L20" s="690">
        <f>transport!K14</f>
        <v>0</v>
      </c>
      <c r="M20" s="690">
        <f>transport!L14</f>
        <v>0</v>
      </c>
      <c r="N20" s="690">
        <f>transport!M14</f>
        <v>3410.3150348104659</v>
      </c>
      <c r="O20" s="690">
        <f>transport!N14</f>
        <v>0</v>
      </c>
      <c r="P20" s="690">
        <f>transport!O14</f>
        <v>0</v>
      </c>
      <c r="Q20" s="691">
        <f>transport!P14</f>
        <v>0</v>
      </c>
      <c r="R20" s="693">
        <f>SUM(C20:Q20)</f>
        <v>79103.388179641988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3.7943558568647089</v>
      </c>
      <c r="D22" s="808">
        <f t="shared" ref="D22:R22" si="1">SUM(D18:D21)</f>
        <v>0</v>
      </c>
      <c r="E22" s="808">
        <f t="shared" si="1"/>
        <v>6.3370318444257743</v>
      </c>
      <c r="F22" s="808">
        <f t="shared" si="1"/>
        <v>218.81714264800527</v>
      </c>
      <c r="G22" s="808">
        <f t="shared" si="1"/>
        <v>0</v>
      </c>
      <c r="H22" s="808">
        <f t="shared" si="1"/>
        <v>67045.020864933525</v>
      </c>
      <c r="I22" s="808">
        <f t="shared" si="1"/>
        <v>9695.9474877885496</v>
      </c>
      <c r="J22" s="808">
        <f t="shared" si="1"/>
        <v>0</v>
      </c>
      <c r="K22" s="808">
        <f t="shared" si="1"/>
        <v>0</v>
      </c>
      <c r="L22" s="808">
        <f t="shared" si="1"/>
        <v>0</v>
      </c>
      <c r="M22" s="808">
        <f t="shared" si="1"/>
        <v>0</v>
      </c>
      <c r="N22" s="808">
        <f t="shared" si="1"/>
        <v>3467.0993989030044</v>
      </c>
      <c r="O22" s="808">
        <f t="shared" si="1"/>
        <v>0</v>
      </c>
      <c r="P22" s="808">
        <f t="shared" si="1"/>
        <v>0</v>
      </c>
      <c r="Q22" s="808">
        <f t="shared" si="1"/>
        <v>0</v>
      </c>
      <c r="R22" s="808">
        <f t="shared" si="1"/>
        <v>80437.016281974385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113.31699999999999</v>
      </c>
      <c r="D24" s="690">
        <f>+landbouw!C8</f>
        <v>0</v>
      </c>
      <c r="E24" s="690">
        <f>+landbouw!D8</f>
        <v>9.5972800000000014</v>
      </c>
      <c r="F24" s="690">
        <f>+landbouw!E8</f>
        <v>1.4279401819771396</v>
      </c>
      <c r="G24" s="690">
        <f>+landbouw!F8</f>
        <v>390.972037604729</v>
      </c>
      <c r="H24" s="690">
        <f>+landbouw!G8</f>
        <v>0</v>
      </c>
      <c r="I24" s="690">
        <f>+landbouw!H8</f>
        <v>0</v>
      </c>
      <c r="J24" s="690">
        <f>+landbouw!I8</f>
        <v>0</v>
      </c>
      <c r="K24" s="690">
        <f>+landbouw!J8</f>
        <v>17.04158865780677</v>
      </c>
      <c r="L24" s="690">
        <f>+landbouw!K8</f>
        <v>0</v>
      </c>
      <c r="M24" s="690">
        <f>+landbouw!L8</f>
        <v>0</v>
      </c>
      <c r="N24" s="690">
        <f>+landbouw!M8</f>
        <v>0</v>
      </c>
      <c r="O24" s="690">
        <f>+landbouw!N8</f>
        <v>0</v>
      </c>
      <c r="P24" s="690">
        <f>+landbouw!O8</f>
        <v>0</v>
      </c>
      <c r="Q24" s="691">
        <f>+landbouw!P8</f>
        <v>0</v>
      </c>
      <c r="R24" s="693">
        <f>SUM(C24:Q24)</f>
        <v>532.35584644451285</v>
      </c>
      <c r="S24" s="67"/>
    </row>
    <row r="25" spans="1:19" s="458" customFormat="1" ht="15" thickBot="1">
      <c r="A25" s="827" t="s">
        <v>872</v>
      </c>
      <c r="B25" s="1004"/>
      <c r="C25" s="1005">
        <f>IF(Onbekend_ele_kWh="---",0,Onbekend_ele_kWh)/1000+IF(REST_rest_ele_kWh="---",0,REST_rest_ele_kWh)/1000</f>
        <v>453.62400000000002</v>
      </c>
      <c r="D25" s="1005"/>
      <c r="E25" s="1005">
        <f>IF(onbekend_gas_kWh="---",0,onbekend_gas_kWh)/1000+IF(REST_rest_gas_kWh="---",0,REST_rest_gas_kWh)/1000</f>
        <v>1134.6859999999999</v>
      </c>
      <c r="F25" s="1005"/>
      <c r="G25" s="1005"/>
      <c r="H25" s="1005"/>
      <c r="I25" s="1005"/>
      <c r="J25" s="1005"/>
      <c r="K25" s="1005"/>
      <c r="L25" s="1005"/>
      <c r="M25" s="1005"/>
      <c r="N25" s="1005"/>
      <c r="O25" s="1005"/>
      <c r="P25" s="1005"/>
      <c r="Q25" s="1006"/>
      <c r="R25" s="693">
        <f>SUM(C25:Q25)</f>
        <v>1588.31</v>
      </c>
      <c r="S25" s="67"/>
    </row>
    <row r="26" spans="1:19" s="458" customFormat="1" ht="15.75" thickBot="1">
      <c r="A26" s="698" t="s">
        <v>873</v>
      </c>
      <c r="B26" s="813"/>
      <c r="C26" s="808">
        <f>SUM(C24:C25)</f>
        <v>566.94100000000003</v>
      </c>
      <c r="D26" s="808">
        <f t="shared" ref="D26:R26" si="2">SUM(D24:D25)</f>
        <v>0</v>
      </c>
      <c r="E26" s="808">
        <f t="shared" si="2"/>
        <v>1144.2832799999999</v>
      </c>
      <c r="F26" s="808">
        <f t="shared" si="2"/>
        <v>1.4279401819771396</v>
      </c>
      <c r="G26" s="808">
        <f t="shared" si="2"/>
        <v>390.972037604729</v>
      </c>
      <c r="H26" s="808">
        <f t="shared" si="2"/>
        <v>0</v>
      </c>
      <c r="I26" s="808">
        <f t="shared" si="2"/>
        <v>0</v>
      </c>
      <c r="J26" s="808">
        <f t="shared" si="2"/>
        <v>0</v>
      </c>
      <c r="K26" s="808">
        <f t="shared" si="2"/>
        <v>17.04158865780677</v>
      </c>
      <c r="L26" s="808">
        <f t="shared" si="2"/>
        <v>0</v>
      </c>
      <c r="M26" s="808">
        <f t="shared" si="2"/>
        <v>0</v>
      </c>
      <c r="N26" s="808">
        <f t="shared" si="2"/>
        <v>0</v>
      </c>
      <c r="O26" s="808">
        <f t="shared" si="2"/>
        <v>0</v>
      </c>
      <c r="P26" s="808">
        <f t="shared" si="2"/>
        <v>0</v>
      </c>
      <c r="Q26" s="808">
        <f t="shared" si="2"/>
        <v>0</v>
      </c>
      <c r="R26" s="808">
        <f t="shared" si="2"/>
        <v>2120.6658464445127</v>
      </c>
      <c r="S26" s="67"/>
    </row>
    <row r="27" spans="1:19" s="458" customFormat="1" ht="17.25" thickTop="1" thickBot="1">
      <c r="A27" s="699" t="s">
        <v>116</v>
      </c>
      <c r="B27" s="800"/>
      <c r="C27" s="700">
        <f ca="1">C22+C16+C26</f>
        <v>27729.107355856868</v>
      </c>
      <c r="D27" s="700">
        <f t="shared" ref="D27:R27" ca="1" si="3">D22+D16+D26</f>
        <v>0</v>
      </c>
      <c r="E27" s="700">
        <f t="shared" ca="1" si="3"/>
        <v>75659.697944362706</v>
      </c>
      <c r="F27" s="700">
        <f t="shared" si="3"/>
        <v>1360.7712475629223</v>
      </c>
      <c r="G27" s="700">
        <f t="shared" ca="1" si="3"/>
        <v>2128.6845498930329</v>
      </c>
      <c r="H27" s="700">
        <f t="shared" si="3"/>
        <v>67045.020864933525</v>
      </c>
      <c r="I27" s="700">
        <f t="shared" si="3"/>
        <v>9695.9474877885496</v>
      </c>
      <c r="J27" s="700">
        <f t="shared" si="3"/>
        <v>0</v>
      </c>
      <c r="K27" s="700">
        <f t="shared" si="3"/>
        <v>17.123829230216998</v>
      </c>
      <c r="L27" s="700">
        <f t="shared" si="3"/>
        <v>0</v>
      </c>
      <c r="M27" s="700">
        <f t="shared" ca="1" si="3"/>
        <v>0</v>
      </c>
      <c r="N27" s="700">
        <f t="shared" si="3"/>
        <v>3467.0993989030044</v>
      </c>
      <c r="O27" s="700">
        <f t="shared" ca="1" si="3"/>
        <v>13810.504982900677</v>
      </c>
      <c r="P27" s="700">
        <f t="shared" si="3"/>
        <v>129.75666666666669</v>
      </c>
      <c r="Q27" s="700">
        <f t="shared" si="3"/>
        <v>629.20000000000005</v>
      </c>
      <c r="R27" s="700">
        <f t="shared" ca="1" si="3"/>
        <v>201672.91432809818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1455.8461892381906</v>
      </c>
      <c r="D40" s="690">
        <f ca="1">tertiair!C20</f>
        <v>0</v>
      </c>
      <c r="E40" s="690">
        <f ca="1">tertiair!D20</f>
        <v>1729.3342403920001</v>
      </c>
      <c r="F40" s="690">
        <f>tertiair!E20</f>
        <v>20.149314372022658</v>
      </c>
      <c r="G40" s="690">
        <f ca="1">tertiair!F20</f>
        <v>357.32328549364001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3562.6530294958534</v>
      </c>
    </row>
    <row r="41" spans="1:18">
      <c r="A41" s="818" t="s">
        <v>225</v>
      </c>
      <c r="B41" s="825"/>
      <c r="C41" s="690">
        <f ca="1">huishoudens!B12</f>
        <v>3936.2748485549996</v>
      </c>
      <c r="D41" s="690">
        <f ca="1">huishoudens!C12</f>
        <v>0</v>
      </c>
      <c r="E41" s="690">
        <f>huishoudens!D12</f>
        <v>13158.222792896693</v>
      </c>
      <c r="F41" s="690">
        <f>huishoudens!E12</f>
        <v>223.77288874607828</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17318.270530197773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115.43089109234654</v>
      </c>
      <c r="D43" s="690">
        <f ca="1">industrie!C22</f>
        <v>0</v>
      </c>
      <c r="E43" s="690">
        <f>industrie!D22</f>
        <v>163.27664848000003</v>
      </c>
      <c r="F43" s="690">
        <f>industrie!E22</f>
        <v>14.977236276276381</v>
      </c>
      <c r="G43" s="690">
        <f>industrie!F22</f>
        <v>106.64595528733712</v>
      </c>
      <c r="H43" s="690">
        <f>industrie!G22</f>
        <v>0</v>
      </c>
      <c r="I43" s="690">
        <f>industrie!H22</f>
        <v>0</v>
      </c>
      <c r="J43" s="690">
        <f>industrie!I22</f>
        <v>0</v>
      </c>
      <c r="K43" s="690">
        <f>industrie!J22</f>
        <v>2.9113162633220894E-2</v>
      </c>
      <c r="L43" s="690">
        <f>industrie!K22</f>
        <v>0</v>
      </c>
      <c r="M43" s="690">
        <f>industrie!L22</f>
        <v>0</v>
      </c>
      <c r="N43" s="690">
        <f>industrie!M22</f>
        <v>0</v>
      </c>
      <c r="O43" s="690">
        <f>industrie!N22</f>
        <v>0</v>
      </c>
      <c r="P43" s="690">
        <f>industrie!O22</f>
        <v>0</v>
      </c>
      <c r="Q43" s="767">
        <f>industrie!P22</f>
        <v>0</v>
      </c>
      <c r="R43" s="845">
        <f t="shared" ca="1" si="4"/>
        <v>400.35984429859332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5507.5519288855367</v>
      </c>
      <c r="D46" s="725">
        <f t="shared" ref="D46:Q46" ca="1" si="5">SUM(D39:D45)</f>
        <v>0</v>
      </c>
      <c r="E46" s="725">
        <f t="shared" ca="1" si="5"/>
        <v>15050.833681768692</v>
      </c>
      <c r="F46" s="725">
        <f t="shared" si="5"/>
        <v>258.89943939437728</v>
      </c>
      <c r="G46" s="725">
        <f t="shared" ca="1" si="5"/>
        <v>463.96924078097715</v>
      </c>
      <c r="H46" s="725">
        <f t="shared" si="5"/>
        <v>0</v>
      </c>
      <c r="I46" s="725">
        <f t="shared" si="5"/>
        <v>0</v>
      </c>
      <c r="J46" s="725">
        <f t="shared" si="5"/>
        <v>0</v>
      </c>
      <c r="K46" s="725">
        <f t="shared" si="5"/>
        <v>2.9113162633220894E-2</v>
      </c>
      <c r="L46" s="725">
        <f t="shared" si="5"/>
        <v>0</v>
      </c>
      <c r="M46" s="725">
        <f t="shared" ca="1" si="5"/>
        <v>0</v>
      </c>
      <c r="N46" s="725">
        <f t="shared" si="5"/>
        <v>0</v>
      </c>
      <c r="O46" s="725">
        <f t="shared" ca="1" si="5"/>
        <v>0</v>
      </c>
      <c r="P46" s="725">
        <f t="shared" si="5"/>
        <v>0</v>
      </c>
      <c r="Q46" s="725">
        <f t="shared" si="5"/>
        <v>0</v>
      </c>
      <c r="R46" s="725">
        <f ca="1">SUM(R39:R45)</f>
        <v>21281.28340399222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340.91727811004267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340.91727811004267</v>
      </c>
    </row>
    <row r="50" spans="1:18">
      <c r="A50" s="821" t="s">
        <v>307</v>
      </c>
      <c r="B50" s="831"/>
      <c r="C50" s="696">
        <f ca="1">transport!B18</f>
        <v>0.76947218774208415</v>
      </c>
      <c r="D50" s="696">
        <f>transport!C18</f>
        <v>0</v>
      </c>
      <c r="E50" s="696">
        <f>transport!D18</f>
        <v>1.2800804325740065</v>
      </c>
      <c r="F50" s="696">
        <f>transport!E18</f>
        <v>49.671491381097198</v>
      </c>
      <c r="G50" s="696">
        <f>transport!F18</f>
        <v>0</v>
      </c>
      <c r="H50" s="696">
        <f>transport!G18</f>
        <v>17560.103292827211</v>
      </c>
      <c r="I50" s="696">
        <f>transport!H18</f>
        <v>2414.2909244593488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20026.115261287974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0.76947218774208415</v>
      </c>
      <c r="D52" s="725">
        <f t="shared" ref="D52:Q52" ca="1" si="6">SUM(D48:D51)</f>
        <v>0</v>
      </c>
      <c r="E52" s="725">
        <f t="shared" si="6"/>
        <v>1.2800804325740065</v>
      </c>
      <c r="F52" s="725">
        <f t="shared" si="6"/>
        <v>49.671491381097198</v>
      </c>
      <c r="G52" s="725">
        <f t="shared" si="6"/>
        <v>0</v>
      </c>
      <c r="H52" s="725">
        <f t="shared" si="6"/>
        <v>17901.020570937253</v>
      </c>
      <c r="I52" s="725">
        <f t="shared" si="6"/>
        <v>2414.2909244593488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20367.032539398017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22.979995337184508</v>
      </c>
      <c r="D54" s="696">
        <f ca="1">+landbouw!C12</f>
        <v>0</v>
      </c>
      <c r="E54" s="696">
        <f>+landbouw!D12</f>
        <v>1.9386505600000004</v>
      </c>
      <c r="F54" s="696">
        <f>+landbouw!E12</f>
        <v>0.32414242130881071</v>
      </c>
      <c r="G54" s="696">
        <f>+landbouw!F12</f>
        <v>104.38953404046265</v>
      </c>
      <c r="H54" s="696">
        <f>+landbouw!G12</f>
        <v>0</v>
      </c>
      <c r="I54" s="696">
        <f>+landbouw!H12</f>
        <v>0</v>
      </c>
      <c r="J54" s="696">
        <f>+landbouw!I12</f>
        <v>0</v>
      </c>
      <c r="K54" s="696">
        <f>+landbouw!J12</f>
        <v>6.0327223848635958</v>
      </c>
      <c r="L54" s="696">
        <f>+landbouw!K12</f>
        <v>0</v>
      </c>
      <c r="M54" s="696">
        <f>+landbouw!L12</f>
        <v>0</v>
      </c>
      <c r="N54" s="696">
        <f>+landbouw!M12</f>
        <v>0</v>
      </c>
      <c r="O54" s="696">
        <f>+landbouw!N12</f>
        <v>0</v>
      </c>
      <c r="P54" s="696">
        <f>+landbouw!O12</f>
        <v>0</v>
      </c>
      <c r="Q54" s="697">
        <f>+landbouw!P12</f>
        <v>0</v>
      </c>
      <c r="R54" s="724">
        <f ca="1">SUM(C54:Q54)</f>
        <v>135.66504474381958</v>
      </c>
    </row>
    <row r="55" spans="1:18" ht="15" thickBot="1">
      <c r="A55" s="821" t="s">
        <v>872</v>
      </c>
      <c r="B55" s="831"/>
      <c r="C55" s="696">
        <f ca="1">C25*'EF ele_warmte'!B12</f>
        <v>91.992175973904949</v>
      </c>
      <c r="D55" s="696"/>
      <c r="E55" s="696">
        <f>E25*EF_CO2_aardgas</f>
        <v>229.20657199999999</v>
      </c>
      <c r="F55" s="696"/>
      <c r="G55" s="696"/>
      <c r="H55" s="696"/>
      <c r="I55" s="696"/>
      <c r="J55" s="696"/>
      <c r="K55" s="696"/>
      <c r="L55" s="696"/>
      <c r="M55" s="696"/>
      <c r="N55" s="696"/>
      <c r="O55" s="696"/>
      <c r="P55" s="696"/>
      <c r="Q55" s="697"/>
      <c r="R55" s="724">
        <f ca="1">SUM(C55:Q55)</f>
        <v>321.19874797390491</v>
      </c>
    </row>
    <row r="56" spans="1:18" ht="15.75" thickBot="1">
      <c r="A56" s="819" t="s">
        <v>873</v>
      </c>
      <c r="B56" s="832"/>
      <c r="C56" s="725">
        <f ca="1">SUM(C54:C55)</f>
        <v>114.97217131108945</v>
      </c>
      <c r="D56" s="725">
        <f t="shared" ref="D56:Q56" ca="1" si="7">SUM(D54:D55)</f>
        <v>0</v>
      </c>
      <c r="E56" s="725">
        <f t="shared" si="7"/>
        <v>231.14522256000001</v>
      </c>
      <c r="F56" s="725">
        <f t="shared" si="7"/>
        <v>0.32414242130881071</v>
      </c>
      <c r="G56" s="725">
        <f t="shared" si="7"/>
        <v>104.38953404046265</v>
      </c>
      <c r="H56" s="725">
        <f t="shared" si="7"/>
        <v>0</v>
      </c>
      <c r="I56" s="725">
        <f t="shared" si="7"/>
        <v>0</v>
      </c>
      <c r="J56" s="725">
        <f t="shared" si="7"/>
        <v>0</v>
      </c>
      <c r="K56" s="725">
        <f t="shared" si="7"/>
        <v>6.0327223848635958</v>
      </c>
      <c r="L56" s="725">
        <f t="shared" si="7"/>
        <v>0</v>
      </c>
      <c r="M56" s="725">
        <f t="shared" si="7"/>
        <v>0</v>
      </c>
      <c r="N56" s="725">
        <f t="shared" si="7"/>
        <v>0</v>
      </c>
      <c r="O56" s="725">
        <f t="shared" si="7"/>
        <v>0</v>
      </c>
      <c r="P56" s="725">
        <f t="shared" si="7"/>
        <v>0</v>
      </c>
      <c r="Q56" s="726">
        <f t="shared" si="7"/>
        <v>0</v>
      </c>
      <c r="R56" s="727">
        <f ca="1">SUM(R54:R55)</f>
        <v>456.86379271772449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5623.2935723843684</v>
      </c>
      <c r="D61" s="733">
        <f t="shared" ref="D61:Q61" ca="1" si="8">D46+D52+D56</f>
        <v>0</v>
      </c>
      <c r="E61" s="733">
        <f t="shared" ca="1" si="8"/>
        <v>15283.258984761267</v>
      </c>
      <c r="F61" s="733">
        <f t="shared" si="8"/>
        <v>308.8950731967833</v>
      </c>
      <c r="G61" s="733">
        <f t="shared" ca="1" si="8"/>
        <v>568.35877482143974</v>
      </c>
      <c r="H61" s="733">
        <f t="shared" si="8"/>
        <v>17901.020570937253</v>
      </c>
      <c r="I61" s="733">
        <f t="shared" si="8"/>
        <v>2414.2909244593488</v>
      </c>
      <c r="J61" s="733">
        <f t="shared" si="8"/>
        <v>0</v>
      </c>
      <c r="K61" s="733">
        <f t="shared" si="8"/>
        <v>6.0618355474968171</v>
      </c>
      <c r="L61" s="733">
        <f t="shared" si="8"/>
        <v>0</v>
      </c>
      <c r="M61" s="733">
        <f t="shared" ca="1" si="8"/>
        <v>0</v>
      </c>
      <c r="N61" s="733">
        <f t="shared" si="8"/>
        <v>0</v>
      </c>
      <c r="O61" s="733">
        <f t="shared" ca="1" si="8"/>
        <v>0</v>
      </c>
      <c r="P61" s="733">
        <f t="shared" si="8"/>
        <v>0</v>
      </c>
      <c r="Q61" s="733">
        <f t="shared" si="8"/>
        <v>0</v>
      </c>
      <c r="R61" s="733">
        <f ca="1">R46+R52+R56</f>
        <v>42105.179736107959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0.20279389091826036</v>
      </c>
      <c r="D63" s="776">
        <f t="shared" ca="1" si="9"/>
        <v>0</v>
      </c>
      <c r="E63" s="1011">
        <f t="shared" ca="1" si="9"/>
        <v>0.20200000000000001</v>
      </c>
      <c r="F63" s="776">
        <f t="shared" si="9"/>
        <v>0.22699999999999995</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2284.34006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2284.34006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2284.34006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2284.34006</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19410.224000000002</v>
      </c>
      <c r="C4" s="462">
        <f>huishoudens!C8</f>
        <v>0</v>
      </c>
      <c r="D4" s="462">
        <f>huishoudens!D8</f>
        <v>65139.716796518282</v>
      </c>
      <c r="E4" s="462">
        <f>huishoudens!E8</f>
        <v>985.78365086378096</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12934.709594271719</v>
      </c>
      <c r="O4" s="462">
        <f>huishoudens!O8</f>
        <v>128.19333333333336</v>
      </c>
      <c r="P4" s="463">
        <f>huishoudens!P8</f>
        <v>629.20000000000005</v>
      </c>
      <c r="Q4" s="464">
        <f>SUM(B4:P4)</f>
        <v>99227.827374987115</v>
      </c>
    </row>
    <row r="5" spans="1:17">
      <c r="A5" s="461" t="s">
        <v>156</v>
      </c>
      <c r="B5" s="462">
        <f ca="1">tertiair!B16</f>
        <v>6651.8649999999998</v>
      </c>
      <c r="C5" s="462">
        <f ca="1">tertiair!C16</f>
        <v>0</v>
      </c>
      <c r="D5" s="462">
        <f ca="1">tertiair!D16</f>
        <v>8561.0605959999994</v>
      </c>
      <c r="E5" s="462">
        <f>tertiair!E16</f>
        <v>88.763499436223157</v>
      </c>
      <c r="F5" s="462">
        <f ca="1">tertiair!F16</f>
        <v>1338.289458777678</v>
      </c>
      <c r="G5" s="462">
        <f>tertiair!G16</f>
        <v>0</v>
      </c>
      <c r="H5" s="462">
        <f>tertiair!H16</f>
        <v>0</v>
      </c>
      <c r="I5" s="462">
        <f>tertiair!I16</f>
        <v>0</v>
      </c>
      <c r="J5" s="462">
        <f>tertiair!J16</f>
        <v>0</v>
      </c>
      <c r="K5" s="462">
        <f>tertiair!K16</f>
        <v>0</v>
      </c>
      <c r="L5" s="462">
        <f ca="1">tertiair!L16</f>
        <v>0</v>
      </c>
      <c r="M5" s="462">
        <f>tertiair!M16</f>
        <v>0</v>
      </c>
      <c r="N5" s="462">
        <f ca="1">tertiair!N16</f>
        <v>753.65455866312902</v>
      </c>
      <c r="O5" s="462">
        <f>tertiair!O16</f>
        <v>1.5633333333333335</v>
      </c>
      <c r="P5" s="463">
        <f>tertiair!P16</f>
        <v>0</v>
      </c>
      <c r="Q5" s="461">
        <f t="shared" ref="Q5:Q14" ca="1" si="0">SUM(B5:P5)</f>
        <v>17395.196446210361</v>
      </c>
    </row>
    <row r="6" spans="1:17">
      <c r="A6" s="461" t="s">
        <v>194</v>
      </c>
      <c r="B6" s="462">
        <f>'openbare verlichting'!B8</f>
        <v>527.08000000000004</v>
      </c>
      <c r="C6" s="462"/>
      <c r="D6" s="462"/>
      <c r="E6" s="462"/>
      <c r="F6" s="462"/>
      <c r="G6" s="462"/>
      <c r="H6" s="462"/>
      <c r="I6" s="462"/>
      <c r="J6" s="462"/>
      <c r="K6" s="462"/>
      <c r="L6" s="462"/>
      <c r="M6" s="462"/>
      <c r="N6" s="462"/>
      <c r="O6" s="462"/>
      <c r="P6" s="463"/>
      <c r="Q6" s="461">
        <f t="shared" si="0"/>
        <v>527.08000000000004</v>
      </c>
    </row>
    <row r="7" spans="1:17">
      <c r="A7" s="461" t="s">
        <v>112</v>
      </c>
      <c r="B7" s="462">
        <f>landbouw!B8</f>
        <v>113.31699999999999</v>
      </c>
      <c r="C7" s="462">
        <f>landbouw!C8</f>
        <v>0</v>
      </c>
      <c r="D7" s="462">
        <f>landbouw!D8</f>
        <v>9.5972800000000014</v>
      </c>
      <c r="E7" s="462">
        <f>landbouw!E8</f>
        <v>1.4279401819771396</v>
      </c>
      <c r="F7" s="462">
        <f>landbouw!F8</f>
        <v>390.972037604729</v>
      </c>
      <c r="G7" s="462">
        <f>landbouw!G8</f>
        <v>0</v>
      </c>
      <c r="H7" s="462">
        <f>landbouw!H8</f>
        <v>0</v>
      </c>
      <c r="I7" s="462">
        <f>landbouw!I8</f>
        <v>0</v>
      </c>
      <c r="J7" s="462">
        <f>landbouw!J8</f>
        <v>17.04158865780677</v>
      </c>
      <c r="K7" s="462">
        <f>landbouw!K8</f>
        <v>0</v>
      </c>
      <c r="L7" s="462">
        <f>landbouw!L8</f>
        <v>0</v>
      </c>
      <c r="M7" s="462">
        <f>landbouw!M8</f>
        <v>0</v>
      </c>
      <c r="N7" s="462">
        <f>landbouw!N8</f>
        <v>0</v>
      </c>
      <c r="O7" s="462">
        <f>landbouw!O8</f>
        <v>0</v>
      </c>
      <c r="P7" s="463">
        <f>landbouw!P8</f>
        <v>0</v>
      </c>
      <c r="Q7" s="461">
        <f t="shared" si="0"/>
        <v>532.35584644451285</v>
      </c>
    </row>
    <row r="8" spans="1:17">
      <c r="A8" s="461" t="s">
        <v>657</v>
      </c>
      <c r="B8" s="462">
        <f>industrie!B18</f>
        <v>569.20299999999997</v>
      </c>
      <c r="C8" s="462">
        <f>industrie!C18</f>
        <v>0</v>
      </c>
      <c r="D8" s="462">
        <f>industrie!D18</f>
        <v>808.30024000000014</v>
      </c>
      <c r="E8" s="462">
        <f>industrie!E18</f>
        <v>65.9790144329356</v>
      </c>
      <c r="F8" s="462">
        <f>industrie!F18</f>
        <v>399.42305351062589</v>
      </c>
      <c r="G8" s="462">
        <f>industrie!G18</f>
        <v>0</v>
      </c>
      <c r="H8" s="462">
        <f>industrie!H18</f>
        <v>0</v>
      </c>
      <c r="I8" s="462">
        <f>industrie!I18</f>
        <v>0</v>
      </c>
      <c r="J8" s="462">
        <f>industrie!J18</f>
        <v>8.2240572410228516E-2</v>
      </c>
      <c r="K8" s="462">
        <f>industrie!K18</f>
        <v>0</v>
      </c>
      <c r="L8" s="462">
        <f>industrie!L18</f>
        <v>0</v>
      </c>
      <c r="M8" s="462">
        <f>industrie!M18</f>
        <v>0</v>
      </c>
      <c r="N8" s="462">
        <f>industrie!N18</f>
        <v>122.14082996582805</v>
      </c>
      <c r="O8" s="462">
        <f>industrie!O18</f>
        <v>0</v>
      </c>
      <c r="P8" s="463">
        <f>industrie!P18</f>
        <v>0</v>
      </c>
      <c r="Q8" s="461">
        <f t="shared" si="0"/>
        <v>1965.1283784817999</v>
      </c>
    </row>
    <row r="9" spans="1:17" s="467" customFormat="1">
      <c r="A9" s="465" t="s">
        <v>574</v>
      </c>
      <c r="B9" s="466">
        <f>transport!B14</f>
        <v>3.7943558568647089</v>
      </c>
      <c r="C9" s="466">
        <f>transport!C14</f>
        <v>0</v>
      </c>
      <c r="D9" s="466">
        <f>transport!D14</f>
        <v>6.3370318444257743</v>
      </c>
      <c r="E9" s="466">
        <f>transport!E14</f>
        <v>218.81714264800527</v>
      </c>
      <c r="F9" s="466">
        <f>transport!F14</f>
        <v>0</v>
      </c>
      <c r="G9" s="466">
        <f>transport!G14</f>
        <v>65768.17712669367</v>
      </c>
      <c r="H9" s="466">
        <f>transport!H14</f>
        <v>9695.9474877885496</v>
      </c>
      <c r="I9" s="466">
        <f>transport!I14</f>
        <v>0</v>
      </c>
      <c r="J9" s="466">
        <f>transport!J14</f>
        <v>0</v>
      </c>
      <c r="K9" s="466">
        <f>transport!K14</f>
        <v>0</v>
      </c>
      <c r="L9" s="466">
        <f>transport!L14</f>
        <v>0</v>
      </c>
      <c r="M9" s="466">
        <f>transport!M14</f>
        <v>3410.3150348104659</v>
      </c>
      <c r="N9" s="466">
        <f>transport!N14</f>
        <v>0</v>
      </c>
      <c r="O9" s="466">
        <f>transport!O14</f>
        <v>0</v>
      </c>
      <c r="P9" s="466">
        <f>transport!P14</f>
        <v>0</v>
      </c>
      <c r="Q9" s="465">
        <f>SUM(B9:P9)</f>
        <v>79103.388179641988</v>
      </c>
    </row>
    <row r="10" spans="1:17">
      <c r="A10" s="461" t="s">
        <v>564</v>
      </c>
      <c r="B10" s="462">
        <f>transport!B54</f>
        <v>0</v>
      </c>
      <c r="C10" s="462">
        <f>transport!C54</f>
        <v>0</v>
      </c>
      <c r="D10" s="462">
        <f>transport!D54</f>
        <v>0</v>
      </c>
      <c r="E10" s="462">
        <f>transport!E54</f>
        <v>0</v>
      </c>
      <c r="F10" s="462">
        <f>transport!F54</f>
        <v>0</v>
      </c>
      <c r="G10" s="462">
        <f>transport!G54</f>
        <v>1276.8437382398602</v>
      </c>
      <c r="H10" s="462">
        <f>transport!H54</f>
        <v>0</v>
      </c>
      <c r="I10" s="462">
        <f>transport!I54</f>
        <v>0</v>
      </c>
      <c r="J10" s="462">
        <f>transport!J54</f>
        <v>0</v>
      </c>
      <c r="K10" s="462">
        <f>transport!K54</f>
        <v>0</v>
      </c>
      <c r="L10" s="462">
        <f>transport!L54</f>
        <v>0</v>
      </c>
      <c r="M10" s="462">
        <f>transport!M54</f>
        <v>56.784364092538588</v>
      </c>
      <c r="N10" s="462">
        <f>transport!N54</f>
        <v>0</v>
      </c>
      <c r="O10" s="462">
        <f>transport!O54</f>
        <v>0</v>
      </c>
      <c r="P10" s="463">
        <f>transport!P54</f>
        <v>0</v>
      </c>
      <c r="Q10" s="461">
        <f t="shared" si="0"/>
        <v>1333.6281023323988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453.62400000000002</v>
      </c>
      <c r="C14" s="469"/>
      <c r="D14" s="469">
        <f>'SEAP template'!E25</f>
        <v>1134.6859999999999</v>
      </c>
      <c r="E14" s="469"/>
      <c r="F14" s="469"/>
      <c r="G14" s="469"/>
      <c r="H14" s="469"/>
      <c r="I14" s="469"/>
      <c r="J14" s="469"/>
      <c r="K14" s="469"/>
      <c r="L14" s="469"/>
      <c r="M14" s="469"/>
      <c r="N14" s="469"/>
      <c r="O14" s="469"/>
      <c r="P14" s="470"/>
      <c r="Q14" s="461">
        <f t="shared" si="0"/>
        <v>1588.31</v>
      </c>
    </row>
    <row r="15" spans="1:17" s="474" customFormat="1">
      <c r="A15" s="471" t="s">
        <v>568</v>
      </c>
      <c r="B15" s="472">
        <f ca="1">SUM(B4:B14)</f>
        <v>27729.107355856868</v>
      </c>
      <c r="C15" s="472">
        <f t="shared" ref="C15:Q15" ca="1" si="1">SUM(C4:C14)</f>
        <v>0</v>
      </c>
      <c r="D15" s="472">
        <f t="shared" ca="1" si="1"/>
        <v>75659.697944362706</v>
      </c>
      <c r="E15" s="472">
        <f t="shared" si="1"/>
        <v>1360.7712475629223</v>
      </c>
      <c r="F15" s="472">
        <f t="shared" ca="1" si="1"/>
        <v>2128.6845498930329</v>
      </c>
      <c r="G15" s="472">
        <f t="shared" si="1"/>
        <v>67045.020864933525</v>
      </c>
      <c r="H15" s="472">
        <f t="shared" si="1"/>
        <v>9695.9474877885496</v>
      </c>
      <c r="I15" s="472">
        <f t="shared" si="1"/>
        <v>0</v>
      </c>
      <c r="J15" s="472">
        <f t="shared" si="1"/>
        <v>17.123829230216998</v>
      </c>
      <c r="K15" s="472">
        <f t="shared" si="1"/>
        <v>0</v>
      </c>
      <c r="L15" s="472">
        <f t="shared" ca="1" si="1"/>
        <v>0</v>
      </c>
      <c r="M15" s="472">
        <f t="shared" si="1"/>
        <v>3467.0993989030044</v>
      </c>
      <c r="N15" s="472">
        <f t="shared" ca="1" si="1"/>
        <v>13810.504982900677</v>
      </c>
      <c r="O15" s="472">
        <f t="shared" si="1"/>
        <v>129.75666666666669</v>
      </c>
      <c r="P15" s="472">
        <f t="shared" si="1"/>
        <v>629.20000000000005</v>
      </c>
      <c r="Q15" s="472">
        <f t="shared" ca="1" si="1"/>
        <v>201672.91432809818</v>
      </c>
    </row>
    <row r="17" spans="1:17">
      <c r="A17" s="475" t="s">
        <v>569</v>
      </c>
      <c r="B17" s="781">
        <f ca="1">huishoudens!B10</f>
        <v>0.20279389091826036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3936.2748485549996</v>
      </c>
      <c r="C22" s="462">
        <f t="shared" ref="C22:C32" ca="1" si="3">C4*$C$17</f>
        <v>0</v>
      </c>
      <c r="D22" s="462">
        <f t="shared" ref="D22:D32" si="4">D4*$D$17</f>
        <v>13158.222792896693</v>
      </c>
      <c r="E22" s="462">
        <f t="shared" ref="E22:E32" si="5">E4*$E$17</f>
        <v>223.77288874607828</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17318.270530197773</v>
      </c>
    </row>
    <row r="23" spans="1:17">
      <c r="A23" s="461" t="s">
        <v>156</v>
      </c>
      <c r="B23" s="462">
        <f t="shared" ca="1" si="2"/>
        <v>1348.957585212994</v>
      </c>
      <c r="C23" s="462">
        <f t="shared" ca="1" si="3"/>
        <v>0</v>
      </c>
      <c r="D23" s="462">
        <f t="shared" ca="1" si="4"/>
        <v>1729.3342403920001</v>
      </c>
      <c r="E23" s="462">
        <f t="shared" si="5"/>
        <v>20.149314372022658</v>
      </c>
      <c r="F23" s="462">
        <f t="shared" ca="1" si="6"/>
        <v>357.32328549364001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3455.764425470657</v>
      </c>
    </row>
    <row r="24" spans="1:17">
      <c r="A24" s="461" t="s">
        <v>194</v>
      </c>
      <c r="B24" s="462">
        <f t="shared" ca="1" si="2"/>
        <v>106.88860402519668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106.88860402519668</v>
      </c>
    </row>
    <row r="25" spans="1:17">
      <c r="A25" s="461" t="s">
        <v>112</v>
      </c>
      <c r="B25" s="462">
        <f t="shared" ca="1" si="2"/>
        <v>22.979995337184508</v>
      </c>
      <c r="C25" s="462">
        <f t="shared" ca="1" si="3"/>
        <v>0</v>
      </c>
      <c r="D25" s="462">
        <f t="shared" si="4"/>
        <v>1.9386505600000004</v>
      </c>
      <c r="E25" s="462">
        <f t="shared" si="5"/>
        <v>0.32414242130881071</v>
      </c>
      <c r="F25" s="462">
        <f t="shared" si="6"/>
        <v>104.38953404046265</v>
      </c>
      <c r="G25" s="462">
        <f t="shared" si="7"/>
        <v>0</v>
      </c>
      <c r="H25" s="462">
        <f t="shared" si="8"/>
        <v>0</v>
      </c>
      <c r="I25" s="462">
        <f t="shared" si="9"/>
        <v>0</v>
      </c>
      <c r="J25" s="462">
        <f t="shared" si="10"/>
        <v>6.0327223848635958</v>
      </c>
      <c r="K25" s="462">
        <f t="shared" si="11"/>
        <v>0</v>
      </c>
      <c r="L25" s="462">
        <f t="shared" si="12"/>
        <v>0</v>
      </c>
      <c r="M25" s="462">
        <f t="shared" si="13"/>
        <v>0</v>
      </c>
      <c r="N25" s="462">
        <f t="shared" si="14"/>
        <v>0</v>
      </c>
      <c r="O25" s="462">
        <f t="shared" si="15"/>
        <v>0</v>
      </c>
      <c r="P25" s="463">
        <f t="shared" si="16"/>
        <v>0</v>
      </c>
      <c r="Q25" s="461">
        <f t="shared" ca="1" si="17"/>
        <v>135.66504474381958</v>
      </c>
    </row>
    <row r="26" spans="1:17">
      <c r="A26" s="461" t="s">
        <v>657</v>
      </c>
      <c r="B26" s="462">
        <f t="shared" ca="1" si="2"/>
        <v>115.43089109234654</v>
      </c>
      <c r="C26" s="462">
        <f t="shared" ca="1" si="3"/>
        <v>0</v>
      </c>
      <c r="D26" s="462">
        <f t="shared" si="4"/>
        <v>163.27664848000003</v>
      </c>
      <c r="E26" s="462">
        <f t="shared" si="5"/>
        <v>14.977236276276381</v>
      </c>
      <c r="F26" s="462">
        <f t="shared" si="6"/>
        <v>106.64595528733712</v>
      </c>
      <c r="G26" s="462">
        <f t="shared" si="7"/>
        <v>0</v>
      </c>
      <c r="H26" s="462">
        <f t="shared" si="8"/>
        <v>0</v>
      </c>
      <c r="I26" s="462">
        <f t="shared" si="9"/>
        <v>0</v>
      </c>
      <c r="J26" s="462">
        <f t="shared" si="10"/>
        <v>2.9113162633220894E-2</v>
      </c>
      <c r="K26" s="462">
        <f t="shared" si="11"/>
        <v>0</v>
      </c>
      <c r="L26" s="462">
        <f t="shared" si="12"/>
        <v>0</v>
      </c>
      <c r="M26" s="462">
        <f t="shared" si="13"/>
        <v>0</v>
      </c>
      <c r="N26" s="462">
        <f t="shared" si="14"/>
        <v>0</v>
      </c>
      <c r="O26" s="462">
        <f t="shared" si="15"/>
        <v>0</v>
      </c>
      <c r="P26" s="463">
        <f t="shared" si="16"/>
        <v>0</v>
      </c>
      <c r="Q26" s="461">
        <f t="shared" ca="1" si="17"/>
        <v>400.35984429859332</v>
      </c>
    </row>
    <row r="27" spans="1:17" s="467" customFormat="1">
      <c r="A27" s="465" t="s">
        <v>574</v>
      </c>
      <c r="B27" s="775">
        <f t="shared" ca="1" si="2"/>
        <v>0.76947218774208415</v>
      </c>
      <c r="C27" s="466">
        <f t="shared" ca="1" si="3"/>
        <v>0</v>
      </c>
      <c r="D27" s="466">
        <f t="shared" si="4"/>
        <v>1.2800804325740065</v>
      </c>
      <c r="E27" s="466">
        <f t="shared" si="5"/>
        <v>49.671491381097198</v>
      </c>
      <c r="F27" s="466">
        <f t="shared" si="6"/>
        <v>0</v>
      </c>
      <c r="G27" s="466">
        <f t="shared" si="7"/>
        <v>17560.103292827211</v>
      </c>
      <c r="H27" s="466">
        <f t="shared" si="8"/>
        <v>2414.2909244593488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20026.115261287974</v>
      </c>
    </row>
    <row r="28" spans="1:17">
      <c r="A28" s="461" t="s">
        <v>564</v>
      </c>
      <c r="B28" s="462">
        <f t="shared" ca="1" si="2"/>
        <v>0</v>
      </c>
      <c r="C28" s="462">
        <f t="shared" ca="1" si="3"/>
        <v>0</v>
      </c>
      <c r="D28" s="462">
        <f t="shared" si="4"/>
        <v>0</v>
      </c>
      <c r="E28" s="462">
        <f t="shared" si="5"/>
        <v>0</v>
      </c>
      <c r="F28" s="462">
        <f t="shared" si="6"/>
        <v>0</v>
      </c>
      <c r="G28" s="462">
        <f t="shared" si="7"/>
        <v>340.91727811004267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340.91727811004267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91.992175973904949</v>
      </c>
      <c r="C32" s="462">
        <f t="shared" ca="1" si="3"/>
        <v>0</v>
      </c>
      <c r="D32" s="462">
        <f t="shared" si="4"/>
        <v>229.20657199999999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321.19874797390491</v>
      </c>
    </row>
    <row r="33" spans="1:17" s="474" customFormat="1">
      <c r="A33" s="471" t="s">
        <v>568</v>
      </c>
      <c r="B33" s="472">
        <f ca="1">SUM(B22:B32)</f>
        <v>5623.2935723843684</v>
      </c>
      <c r="C33" s="472">
        <f t="shared" ref="C33:Q33" ca="1" si="18">SUM(C22:C32)</f>
        <v>0</v>
      </c>
      <c r="D33" s="472">
        <f t="shared" ca="1" si="18"/>
        <v>15283.258984761265</v>
      </c>
      <c r="E33" s="472">
        <f t="shared" si="18"/>
        <v>308.8950731967833</v>
      </c>
      <c r="F33" s="472">
        <f t="shared" ca="1" si="18"/>
        <v>568.35877482143974</v>
      </c>
      <c r="G33" s="472">
        <f t="shared" si="18"/>
        <v>17901.020570937253</v>
      </c>
      <c r="H33" s="472">
        <f t="shared" si="18"/>
        <v>2414.2909244593488</v>
      </c>
      <c r="I33" s="472">
        <f t="shared" si="18"/>
        <v>0</v>
      </c>
      <c r="J33" s="472">
        <f t="shared" si="18"/>
        <v>6.0618355474968171</v>
      </c>
      <c r="K33" s="472">
        <f t="shared" si="18"/>
        <v>0</v>
      </c>
      <c r="L33" s="472">
        <f t="shared" ca="1" si="18"/>
        <v>0</v>
      </c>
      <c r="M33" s="472">
        <f t="shared" si="18"/>
        <v>0</v>
      </c>
      <c r="N33" s="472">
        <f t="shared" ca="1" si="18"/>
        <v>0</v>
      </c>
      <c r="O33" s="472">
        <f t="shared" si="18"/>
        <v>0</v>
      </c>
      <c r="P33" s="472">
        <f t="shared" si="18"/>
        <v>0</v>
      </c>
      <c r="Q33" s="472">
        <f t="shared" ca="1" si="18"/>
        <v>42105.179736107959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2284.34006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2284.34006</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0.20279389091826036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0.20279389091826036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2019-08-12T08:01:28Z</dcterms:modified>
</cp:coreProperties>
</file>