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O18" s="1"/>
  <c r="H18"/>
  <c r="G18"/>
  <c r="F18"/>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K20"/>
  <c r="F20"/>
  <c r="D20"/>
  <c r="G12"/>
  <c r="F12"/>
  <c r="E12"/>
  <c r="D12"/>
  <c r="C12"/>
  <c r="G10"/>
  <c r="F10"/>
  <c r="B8"/>
  <c r="B6"/>
  <c r="B5"/>
  <c r="B4"/>
  <c r="B10" l="1"/>
  <c r="O9"/>
  <c r="I102"/>
  <c r="H17" s="1"/>
  <c r="H20" s="1"/>
  <c r="C102"/>
  <c r="F102"/>
  <c r="B102"/>
  <c r="C17" s="1"/>
  <c r="G102"/>
  <c r="I101"/>
  <c r="H8" s="1"/>
  <c r="H10" s="1"/>
  <c r="H101"/>
  <c r="J8" s="1"/>
  <c r="J10" s="1"/>
  <c r="B101"/>
  <c r="C8" s="1"/>
  <c r="C10" s="1"/>
  <c r="C101"/>
  <c r="D101"/>
  <c r="F101"/>
  <c r="G101"/>
  <c r="B17"/>
  <c r="B20" s="1"/>
  <c r="O19"/>
  <c r="C2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J56" s="1"/>
  <c r="I54"/>
  <c r="H54"/>
  <c r="H56" s="1"/>
  <c r="Q24"/>
  <c r="Q26" s="1"/>
  <c r="P24"/>
  <c r="N24"/>
  <c r="L24"/>
  <c r="L26" s="1"/>
  <c r="J24"/>
  <c r="I24"/>
  <c r="H24"/>
  <c r="H26" s="1"/>
  <c r="Q50"/>
  <c r="P50"/>
  <c r="O50"/>
  <c r="M50"/>
  <c r="L50"/>
  <c r="K50"/>
  <c r="J50"/>
  <c r="G50"/>
  <c r="D50"/>
  <c r="Q49"/>
  <c r="P49"/>
  <c r="Q20"/>
  <c r="P20"/>
  <c r="O20"/>
  <c r="M20"/>
  <c r="L20"/>
  <c r="K20"/>
  <c r="J20"/>
  <c r="G20"/>
  <c r="D20"/>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Q56"/>
  <c r="I56"/>
  <c r="R44"/>
  <c r="I26"/>
  <c r="E25"/>
  <c r="E55" s="1"/>
  <c r="C25"/>
  <c r="B14" i="48" s="1"/>
  <c r="P26" i="14"/>
  <c r="N26"/>
  <c r="J26"/>
  <c r="Q22"/>
  <c r="J22"/>
  <c r="R12"/>
  <c r="L78" l="1"/>
  <c r="L9" i="59"/>
  <c r="L10" s="1"/>
  <c r="Q52" i="14"/>
  <c r="P28" i="48"/>
  <c r="Q11"/>
  <c r="O28"/>
  <c r="K22" i="14"/>
  <c r="D22"/>
  <c r="L22"/>
  <c r="K20" i="59"/>
  <c r="E20"/>
  <c r="E10"/>
  <c r="K78" i="14"/>
  <c r="K8" i="59"/>
  <c r="K10" s="1"/>
  <c r="E90" i="14"/>
  <c r="E18" i="59"/>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N90" l="1"/>
  <c r="N18" i="59"/>
  <c r="N20" s="1"/>
  <c r="O90" i="14"/>
  <c r="O18" i="59"/>
  <c r="O20" s="1"/>
  <c r="C89" i="14"/>
  <c r="C19" i="59" s="1"/>
  <c r="G19"/>
  <c r="G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Q90" l="1"/>
  <c r="B17" i="6" s="1"/>
  <c r="P17" i="59"/>
  <c r="P20" s="1"/>
  <c r="J78" i="14"/>
  <c r="J8" i="59"/>
  <c r="J10" s="1"/>
  <c r="J90" i="14"/>
  <c r="J17" i="59"/>
  <c r="J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G32" i="48"/>
  <c r="G26"/>
  <c r="G24"/>
  <c r="G25"/>
  <c r="G22"/>
  <c r="G30"/>
  <c r="G29"/>
  <c r="G23"/>
  <c r="E31"/>
  <c r="E32"/>
  <c r="E29"/>
  <c r="E28"/>
  <c r="E30"/>
  <c r="E24"/>
  <c r="M32"/>
  <c r="M22"/>
  <c r="M29"/>
  <c r="M25"/>
  <c r="M26"/>
  <c r="M30"/>
  <c r="M24"/>
  <c r="M23"/>
  <c r="L10" i="14"/>
  <c r="L16" s="1"/>
  <c r="L27" s="1"/>
  <c r="K5" i="48"/>
  <c r="L28"/>
  <c r="L29"/>
  <c r="L32"/>
  <c r="L31"/>
  <c r="L22"/>
  <c r="L27"/>
  <c r="L30"/>
  <c r="L24"/>
  <c r="P5"/>
  <c r="P23" s="1"/>
  <c r="Q10" i="14"/>
  <c r="K32" i="48"/>
  <c r="K28"/>
  <c r="K26"/>
  <c r="K27"/>
  <c r="K25"/>
  <c r="K22"/>
  <c r="K24"/>
  <c r="K31"/>
  <c r="K30"/>
  <c r="K29"/>
  <c r="C24" i="14"/>
  <c r="C26" s="1"/>
  <c r="B7" i="48"/>
  <c r="J15" i="16"/>
  <c r="E11" i="14"/>
  <c r="D4" i="48"/>
  <c r="D22" s="1"/>
  <c r="H29"/>
  <c r="H26"/>
  <c r="H32"/>
  <c r="H30"/>
  <c r="H28"/>
  <c r="H22"/>
  <c r="H25"/>
  <c r="H24"/>
  <c r="H23"/>
  <c r="D30"/>
  <c r="D29"/>
  <c r="D31"/>
  <c r="D24"/>
  <c r="D28"/>
  <c r="D32"/>
  <c r="J32"/>
  <c r="J27"/>
  <c r="J28"/>
  <c r="J29"/>
  <c r="J24"/>
  <c r="J31"/>
  <c r="J30"/>
  <c r="P4"/>
  <c r="Q11" i="14"/>
  <c r="I29" i="48"/>
  <c r="I31"/>
  <c r="I26"/>
  <c r="I27"/>
  <c r="I32"/>
  <c r="I30"/>
  <c r="I25"/>
  <c r="I22"/>
  <c r="I28"/>
  <c r="I24"/>
  <c r="D11" i="14"/>
  <c r="C4" i="48"/>
  <c r="C11" i="14"/>
  <c r="B4" i="48"/>
  <c r="F32"/>
  <c r="F31"/>
  <c r="F27"/>
  <c r="F29"/>
  <c r="F24"/>
  <c r="F28"/>
  <c r="F30"/>
  <c r="N27"/>
  <c r="N32"/>
  <c r="N31"/>
  <c r="N29"/>
  <c r="N24"/>
  <c r="N30"/>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M12" i="22"/>
  <c r="N18" i="14"/>
  <c r="M13" i="48"/>
  <c r="M31" s="1"/>
  <c r="O22"/>
  <c r="L46" i="14"/>
  <c r="L61" s="1"/>
  <c r="L63" s="1"/>
  <c r="C22"/>
  <c r="K15" i="48"/>
  <c r="K23"/>
  <c r="K33" s="1"/>
  <c r="D9"/>
  <c r="D27" s="1"/>
  <c r="E20" i="14"/>
  <c r="E22" s="1"/>
  <c r="H18"/>
  <c r="G13" i="48"/>
  <c r="H13"/>
  <c r="H31" s="1"/>
  <c r="I18" i="14"/>
  <c r="E9" i="48"/>
  <c r="F20" i="14"/>
  <c r="F22" s="1"/>
  <c r="P22" i="16"/>
  <c r="Q43" i="14" s="1"/>
  <c r="P8" i="48"/>
  <c r="P26" s="1"/>
  <c r="Q13" i="14"/>
  <c r="Q16" s="1"/>
  <c r="Q27" s="1"/>
  <c r="P22" i="48"/>
  <c r="P15"/>
  <c r="C20" i="14"/>
  <c r="B9" i="48"/>
  <c r="O5"/>
  <c r="O23" s="1"/>
  <c r="P10" i="14"/>
  <c r="K24"/>
  <c r="K26" s="1"/>
  <c r="J7" i="48"/>
  <c r="J25" s="1"/>
  <c r="J10" i="14"/>
  <c r="J16" s="1"/>
  <c r="J27" s="1"/>
  <c r="I5"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R11" s="1"/>
  <c r="E4" i="48"/>
  <c r="K11" i="14"/>
  <c r="J4" i="48"/>
  <c r="O8"/>
  <c r="O26" s="1"/>
  <c r="O33" s="1"/>
  <c r="P13" i="14"/>
  <c r="R18"/>
  <c r="M9" i="48"/>
  <c r="N20" i="14"/>
  <c r="H20"/>
  <c r="G9" i="48"/>
  <c r="G31"/>
  <c r="Q13"/>
  <c r="P16" i="14"/>
  <c r="P27" s="1"/>
  <c r="P33" i="48"/>
  <c r="H19" i="14"/>
  <c r="R19" s="1"/>
  <c r="G10" i="48"/>
  <c r="I23"/>
  <c r="I33" s="1"/>
  <c r="I15"/>
  <c r="E27"/>
  <c r="Q46" i="14"/>
  <c r="Q61" s="1"/>
  <c r="Q63" s="1"/>
  <c r="M10" i="48"/>
  <c r="M28" s="1"/>
  <c r="N19" i="14"/>
  <c r="E7" i="48"/>
  <c r="E25" s="1"/>
  <c r="F24" i="14"/>
  <c r="F26" s="1"/>
  <c r="N22"/>
  <c r="N27" s="1"/>
  <c r="P46"/>
  <c r="P61" s="1"/>
  <c r="P63"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E61"/>
  <c r="N63"/>
  <c r="I20"/>
  <c r="H9" i="48"/>
  <c r="J22"/>
  <c r="M27"/>
  <c r="M33" s="1"/>
  <c r="M15"/>
  <c r="K10" i="14"/>
  <c r="J5" i="48"/>
  <c r="J23" s="1"/>
  <c r="H22" i="14"/>
  <c r="H27" s="1"/>
  <c r="E20" i="15"/>
  <c r="F40" i="14" s="1"/>
  <c r="E5" i="48"/>
  <c r="E23" s="1"/>
  <c r="F10" i="14"/>
  <c r="G28" i="48"/>
  <c r="Q10"/>
  <c r="E22"/>
  <c r="Q4"/>
  <c r="G27"/>
  <c r="G15"/>
  <c r="O15"/>
  <c r="M61" i="14"/>
  <c r="M27"/>
  <c r="E16"/>
  <c r="E27" s="1"/>
  <c r="L15" i="48"/>
  <c r="R24" i="14"/>
  <c r="R26" s="1"/>
  <c r="L33" i="48"/>
  <c r="Q7"/>
  <c r="R10" i="14"/>
  <c r="D23" i="48"/>
  <c r="D33" s="1"/>
  <c r="D15"/>
  <c r="C16" i="14"/>
  <c r="C27" s="1"/>
  <c r="B3" i="6" s="1"/>
  <c r="B12" s="1"/>
  <c r="F23" i="48"/>
  <c r="N23"/>
  <c r="B15"/>
  <c r="F18" i="16"/>
  <c r="E18"/>
  <c r="E22" s="1"/>
  <c r="F43" i="14" s="1"/>
  <c r="N18" i="16"/>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K16" l="1"/>
  <c r="K27" s="1"/>
  <c r="I22"/>
  <c r="I27" s="1"/>
  <c r="R20"/>
  <c r="R22" s="1"/>
  <c r="E63"/>
  <c r="H27" i="48"/>
  <c r="H33" s="1"/>
  <c r="H15"/>
  <c r="Q9"/>
  <c r="G33"/>
  <c r="I63" i="14"/>
  <c r="Q5" i="48"/>
  <c r="E8"/>
  <c r="F13" i="14"/>
  <c r="J22" i="16"/>
  <c r="K43" i="14" s="1"/>
  <c r="K46" s="1"/>
  <c r="K61" s="1"/>
  <c r="K13"/>
  <c r="J8" i="48"/>
  <c r="J26" s="1"/>
  <c r="J33" s="1"/>
  <c r="H63" i="14"/>
  <c r="F46"/>
  <c r="F61" s="1"/>
  <c r="F16"/>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26" i="48"/>
  <c r="E33" s="1"/>
  <c r="E15"/>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<sst xmlns="http://schemas.openxmlformats.org/spreadsheetml/2006/main" count="2459" uniqueCount="930">
  <si>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</si>
  <si>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</si>
  <si>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</si>
  <si>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</si>
  <si>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</si>
  <si>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</si>
  <si>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</si>
  <si>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</si>
  <si>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</si>
  <si>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</si>
  <si>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</si>
  <si>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</si>
  <si>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</si>
  <si>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</si>
  <si>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</si>
  <si>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</si>
  <si>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</si>
  <si>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</si>
  <si>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</si>
  <si>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</si>
  <si>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</si>
  <si>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</si>
  <si>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</si>
  <si>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</si>
  <si>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</si>
  <si>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</si>
  <si>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</si>
  <si>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</si>
  <si>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</si>
  <si>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</si>
  <si>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</si>
  <si>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</si>
  <si>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</si>
  <si>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</si>
  <si>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</si>
  <si>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</si>
  <si>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</si>
  <si>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</si>
  <si>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</si>
  <si>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</si>
  <si>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</si>
  <si>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</si>
  <si>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</si>
  <si>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</si>
  <si>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</si>
  <si>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</si>
  <si>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</si>
  <si>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</si>
  <si>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</si>
  <si>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</si>
  <si>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</si>
  <si>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</si>
  <si>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</si>
  <si>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</si>
  <si>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</si>
  <si>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</si>
  <si>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</si>
  <si>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</si>
  <si>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</si>
  <si>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</si>
  <si>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</si>
  <si>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</si>
  <si>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</si>
  <si>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</si>
  <si>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</si>
  <si>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</si>
  <si>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</si>
  <si>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</si>
  <si>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</si>
  <si>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</si>
  <si>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</si>
  <si>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</si>
  <si>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</si>
  <si>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</si>
  <si>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</si>
  <si>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</si>
  <si>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</si>
  <si>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</si>
  <si>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</si>
  <si>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</si>
  <si>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</si>
  <si>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</si>
  <si>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</si>
  <si>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</si>
  <si>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</si>
  <si>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</si>
  <si>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</si>
  <si>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</si>
  <si>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</si>
  <si>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</si>
  <si>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</si>
  <si>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</si>
  <si>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</si>
  <si>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</si>
  <si>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</si>
  <si>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</si>
  <si>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</si>
  <si>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</si>
  <si>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</si>
  <si>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</si>
  <si>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</si>
  <si>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</si>
  <si>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</si>
  <si>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</si>
  <si>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</si>
  <si>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</si>
  <si>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</si>
  <si>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</si>
  <si>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</si>
  <si>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</si>
  <si>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</si>
  <si>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</si>
  <si>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</si>
  <si>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</si>
  <si>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</si>
  <si>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</si>
  <si>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</si>
  <si>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</si>
  <si>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</si>
  <si>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</si>
  <si>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</si>
  <si>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</si>
  <si>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</si>
  <si>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</si>
  <si>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</si>
  <si>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</si>
  <si>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</si>
  <si>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</si>
  <si>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</si>
  <si>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</si>
  <si>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</si>
  <si>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</si>
  <si>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</si>
  <si>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</si>
  <si>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</si>
  <si>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</si>
  <si>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</si>
  <si>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</si>
  <si>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</si>
  <si>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</si>
  <si>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</si>
  <si>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</si>
  <si>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</si>
  <si>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</si>
  <si>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</si>
  <si>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</si>
  <si>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</si>
  <si>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</si>
  <si>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</si>
  <si>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</si>
  <si>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</si>
  <si>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</si>
  <si>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</si>
  <si>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</si>
  <si>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</si>
  <si>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</si>
  <si>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</si>
  <si>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</si>
  <si>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</si>
  <si>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</si>
  <si>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</si>
  <si>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</si>
  <si>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</si>
  <si>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</si>
  <si>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</si>
  <si>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</si>
  <si>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</si>
  <si>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</si>
  <si>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</si>
  <si>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</si>
  <si>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</si>
  <si>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</si>
  <si>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</si>
  <si>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</si>
  <si>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</si>
  <si>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</si>
  <si>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</si>
  <si>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</si>
  <si>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</si>
  <si>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</si>
  <si>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</si>
  <si>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</si>
  <si>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</si>
  <si>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</si>
  <si>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</si>
  <si>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</si>
  <si>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</si>
  <si>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</si>
  <si>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</si>
  <si>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</si>
  <si>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</si>
  <si>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</si>
  <si>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</si>
  <si>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</si>
  <si>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</si>
  <si>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</si>
  <si>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</si>
  <si>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</si>
  <si>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</si>
  <si>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</si>
  <si>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</si>
  <si>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</si>
  <si>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</si>
  <si>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</si>
  <si>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</si>
  <si>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</si>
  <si>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</si>
  <si>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</si>
  <si>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</si>
  <si>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</si>
  <si>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</si>
  <si>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</si>
  <si>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</si>
  <si>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</si>
  <si>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</si>
  <si>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</si>
  <si>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</si>
  <si>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</si>
  <si>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</si>
  <si>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</si>
  <si>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</si>
  <si>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</si>
  <si>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</si>
  <si>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</si>
  <si>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</si>
  <si>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</si>
  <si>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</si>
  <si>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</si>
  <si>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</si>
  <si>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</si>
  <si>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</si>
  <si>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</si>
  <si>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</si>
  <si>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</si>
  <si>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</si>
  <si>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</si>
  <si>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</si>
  <si>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</si>
  <si>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</si>
  <si>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</si>
  <si>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</si>
  <si>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</si>
  <si>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</si>
  <si>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</si>
  <si>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</si>
  <si>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</si>
  <si>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</si>
  <si>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</si>
  <si>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</si>
  <si>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</si>
  <si>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</si>
  <si>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</si>
  <si>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</si>
  <si>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</si>
  <si>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</si>
  <si>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</si>
  <si>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</si>
  <si>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</si>
  <si>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</si>
  <si>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</si>
  <si>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</si>
  <si>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</si>
  <si>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</si>
  <si>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</si>
  <si>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</si>
  <si>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</si>
  <si>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</si>
  <si>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</si>
  <si>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</si>
  <si>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</si>
  <si>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</si>
  <si>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</si>
  <si>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</si>
  <si>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</si>
  <si>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</si>
  <si>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</si>
  <si>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</si>
  <si>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</si>
  <si>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</si>
  <si>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</si>
  <si>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</si>
  <si>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</si>
  <si>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</si>
  <si>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</si>
  <si>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</si>
  <si>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</si>
  <si>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</si>
  <si>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</si>
  <si>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</si>
  <si>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</si>
  <si>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</si>
  <si>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</si>
  <si>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</si>
  <si>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</si>
  <si>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</si>
  <si>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</si>
  <si>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</si>
  <si>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</si>
  <si>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</si>
  <si>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</si>
  <si>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</si>
  <si>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</si>
  <si>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</si>
  <si>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</si>
  <si>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</si>
  <si>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</si>
  <si>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</si>
  <si>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</si>
  <si>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</si>
  <si>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</si>
  <si>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</si>
  <si>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</si>
  <si>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</si>
  <si>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</si>
  <si>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</si>
  <si>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</si>
  <si>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</si>
  <si>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</si>
  <si>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</si>
  <si>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</si>
  <si>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</si>
  <si>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</si>
  <si>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</si>
  <si>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</si>
  <si>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</si>
  <si>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</si>
  <si>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</si>
  <si>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</si>
  <si>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</si>
  <si>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</si>
  <si>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</si>
  <si>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</si>
  <si>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</si>
  <si>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</si>
  <si>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</si>
  <si>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</si>
  <si>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</si>
  <si>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</si>
  <si>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</si>
  <si>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</si>
  <si>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</si>
  <si>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</si>
  <si>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</si>
  <si>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</si>
  <si>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</si>
  <si>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</si>
  <si>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</si>
  <si>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</si>
  <si>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</si>
  <si>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</si>
  <si>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</si>
  <si>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</si>
  <si>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</si>
  <si>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</si>
  <si>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</si>
  <si>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</si>
  <si>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</si>
  <si>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</si>
  <si>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</si>
  <si>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</si>
  <si>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</si>
  <si>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</si>
  <si>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</si>
  <si>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</si>
  <si>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</si>
  <si>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</si>
  <si>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</si>
  <si>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</si>
  <si>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</si>
  <si>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</si>
  <si>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</si>
  <si>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</si>
  <si>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</si>
  <si>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</si>
  <si>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</si>
  <si>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</si>
  <si>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</si>
  <si>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</si>
  <si>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</si>
  <si>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</si>
  <si>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</si>
  <si>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</si>
  <si>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</si>
  <si>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</si>
  <si>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</si>
  <si>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</si>
  <si>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</si>
  <si>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</si>
  <si>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</si>
  <si>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</si>
  <si>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</si>
  <si>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</si>
  <si>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</si>
  <si>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</si>
  <si>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</si>
  <si>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</si>
  <si>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</si>
  <si>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</si>
  <si>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</si>
  <si>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</si>
  <si>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</si>
  <si>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</si>
  <si>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</si>
  <si>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</si>
  <si>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</si>
  <si>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</si>
  <si>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</si>
  <si>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</si>
  <si>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</si>
  <si>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</si>
  <si>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</si>
  <si>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</si>
  <si>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</si>
  <si>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</si>
  <si>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</si>
  <si>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</si>
  <si>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</si>
  <si>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</si>
  <si>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</si>
  <si>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</si>
  <si>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</si>
  <si>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</si>
  <si>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</si>
  <si>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</si>
  <si>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</si>
  <si>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</si>
  <si>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</si>
  <si>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</si>
  <si>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</si>
  <si>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</si>
  <si>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</si>
  <si>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</si>
  <si>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</si>
  <si>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</si>
  <si>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</si>
  <si>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</si>
  <si>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</si>
  <si>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</si>
  <si>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</si>
  <si>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</si>
  <si>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</si>
  <si>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</si>
  <si>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</si>
  <si>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</si>
  <si>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</si>
  <si>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</si>
  <si>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</si>
  <si>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</si>
  <si>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</si>
  <si>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</si>
  <si>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</si>
  <si>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</si>
  <si>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</si>
  <si>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</si>
  <si>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</si>
  <si>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</si>
  <si>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</si>
  <si>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</si>
  <si>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</si>
  <si>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</si>
  <si>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</si>
  <si>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</si>
  <si>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</si>
  <si>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</si>
  <si>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</si>
  <si>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</si>
  <si>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</si>
  <si>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</si>
  <si>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</si>
  <si>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</si>
  <si>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</si>
  <si>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</si>
  <si>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</si>
  <si>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</si>
  <si>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</si>
  <si>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</si>
  <si>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</si>
  <si>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</si>
  <si>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</si>
  <si>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</si>
  <si>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</si>
  <si>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</si>
  <si>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</si>
  <si>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</si>
  <si>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</si>
  <si>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</si>
  <si>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</si>
  <si>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</si>
  <si>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</si>
  <si>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</si>
  <si>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</si>
  <si>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</si>
  <si>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</si>
  <si>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</si>
  <si>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</si>
  <si>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</si>
  <si>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</si>
  <si>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</si>
  <si>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</si>
  <si>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</si>
  <si>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</si>
  <si>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</si>
  <si>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</si>
  <si>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</si>
  <si>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</si>
  <si>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</si>
  <si>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</si>
  <si>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</si>
  <si>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</si>
  <si>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</si>
  <si>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</si>
  <si>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</si>
  <si>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</si>
  <si>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</si>
  <si>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</si>
  <si>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</si>
  <si>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</si>
  <si>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</si>
  <si>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</si>
  <si>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</si>
  <si>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</si>
  <si>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</si>
  <si>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</si>
  <si>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</si>
  <si>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</si>
  <si>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</si>
  <si>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</si>
  <si>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</si>
  <si>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</si>
  <si>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</si>
  <si>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</si>
  <si>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</si>
  <si>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</si>
  <si>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</si>
  <si>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</si>
  <si>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</si>
  <si>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</si>
  <si>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</si>
  <si>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</si>
  <si>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</si>
  <si>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</si>
  <si>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</si>
  <si>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</si>
  <si>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</si>
  <si>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</si>
  <si>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</si>
  <si>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</si>
  <si>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</si>
  <si>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</si>
  <si>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</si>
  <si>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</si>
  <si>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</si>
  <si>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</si>
  <si>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</si>
  <si>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</si>
  <si>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</si>
  <si>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</si>
  <si>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</si>
  <si>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</si>
  <si>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</si>
  <si>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</si>
  <si>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</si>
  <si>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</si>
  <si>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</si>
  <si>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</si>
  <si>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</si>
  <si>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</si>
  <si>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</si>
  <si>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</si>
  <si>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</si>
  <si>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</si>
  <si>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</si>
  <si>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</si>
  <si>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</si>
  <si>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</si>
  <si>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</si>
  <si>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</si>
  <si>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</si>
  <si>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</si>
  <si>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</si>
  <si>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</si>
  <si>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</si>
  <si>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</si>
  <si>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</si>
  <si>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</si>
  <si>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</si>
  <si>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</si>
  <si>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</si>
  <si>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</si>
  <si>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</si>
  <si>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</si>
  <si>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</si>
  <si>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</si>
  <si>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</si>
  <si>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</si>
  <si>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</si>
  <si>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</si>
  <si>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</si>
  <si>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</si>
  <si>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</si>
  <si>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</si>
  <si>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</si>
  <si>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</si>
  <si>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</si>
  <si>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</si>
  <si>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</si>
  <si>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</si>
  <si>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</si>
  <si>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</si>
  <si>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</si>
  <si>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</si>
  <si>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</si>
  <si>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</si>
  <si>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</si>
  <si>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</si>
  <si>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</si>
  <si>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</si>
  <si>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</si>
  <si>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</si>
  <si>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</si>
  <si>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</si>
  <si>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</si>
  <si>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</si>
  <si>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</si>
  <si>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</si>
  <si>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</si>
  <si>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</si>
  <si>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</si>
  <si>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</si>
  <si>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</si>
  <si>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</si>
  <si>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</si>
  <si>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</si>
  <si>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</si>
  <si>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</si>
  <si>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</si>
  <si>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</si>
  <si>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</si>
  <si>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</si>
  <si>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</si>
  <si>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</si>
  <si>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</si>
  <si>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</si>
  <si>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</si>
  <si>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</si>
  <si>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</si>
  <si>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</si>
  <si>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</si>
  <si>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</si>
  <si>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</si>
  <si>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</si>
  <si>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</si>
  <si>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</si>
  <si>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</si>
  <si>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</si>
  <si>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</si>
  <si>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</si>
  <si>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</si>
  <si>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</si>
  <si>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</si>
  <si>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</si>
  <si>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</si>
  <si>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</si>
  <si>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</si>
  <si>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</si>
  <si>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</si>
  <si>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</si>
  <si>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</si>
  <si>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</si>
  <si>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</si>
  <si>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</si>
  <si>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</si>
  <si>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</si>
  <si>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</si>
  <si>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</si>
  <si>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</si>
  <si>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</si>
  <si>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</si>
  <si>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</si>
  <si>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</si>
  <si>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</si>
  <si>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</si>
  <si>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</si>
  <si>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</si>
  <si>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</si>
  <si>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</si>
  <si>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</si>
  <si>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</si>
  <si>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</si>
  <si>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</si>
  <si>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</si>
  <si>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</si>
  <si>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</si>
  <si>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</si>
  <si>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</si>
  <si>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</si>
  <si>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</si>
  <si>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</si>
  <si>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</si>
  <si>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</si>
  <si>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</si>
  <si>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</si>
  <si>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</si>
  <si>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</si>
  <si>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</si>
  <si>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</si>
  <si>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</si>
  <si>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</si>
  <si>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</si>
  <si>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</si>
  <si>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</si>
  <si>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</si>
  <si>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</si>
  <si>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</si>
  <si>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</si>
  <si>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</si>
  <si>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</si>
  <si>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</si>
  <si>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</si>
  <si>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</si>
  <si>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</si>
  <si>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</si>
  <si>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</si>
  <si>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</si>
  <si>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</si>
  <si>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</si>
  <si>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</si>
  <si>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</si>
  <si>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</si>
  <si>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</si>
  <si>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</si>
  <si>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</si>
  <si>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</si>
  <si>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</si>
  <si>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</si>
  <si>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</si>
  <si>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</si>
  <si>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</si>
  <si>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</si>
  <si>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</si>
  <si>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</si>
  <si>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</si>
  <si>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</si>
  <si>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</si>
  <si>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</si>
  <si>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</si>
  <si>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</si>
  <si>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</si>
  <si>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</si>
  <si>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</si>
  <si>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</si>
  <si>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</si>
  <si>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</si>
  <si>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</si>
  <si>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</si>
  <si>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</si>
  <si>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</si>
  <si>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</si>
  <si>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</si>
  <si>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</si>
  <si>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</si>
  <si>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</si>
  <si>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</si>
  <si>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</si>
  <si>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</si>
  <si>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</si>
  <si>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</si>
  <si>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</si>
  <si>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</si>
  <si>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</si>
  <si>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</si>
  <si>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</si>
  <si>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</si>
  <si>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</si>
  <si>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</si>
  <si>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</si>
  <si>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</si>
  <si>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</si>
  <si>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</si>
  <si>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</si>
  <si>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</si>
  <si>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</si>
  <si>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</si>
  <si>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</si>
  <si>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</si>
  <si>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</si>
  <si>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</si>
  <si>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</si>
  <si>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</si>
  <si>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</si>
  <si>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</si>
  <si>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</si>
  <si>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</si>
  <si>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</si>
  <si>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</si>
  <si>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</si>
  <si>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</si>
  <si>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</si>
  <si>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</si>
  <si>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</si>
  <si>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</si>
  <si>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</si>
  <si>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</si>
  <si>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</si>
  <si>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</si>
  <si>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</si>
  <si>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</si>
  <si>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</si>
  <si>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</si>
  <si>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</si>
  <si>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</si>
  <si>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</si>
  <si>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</si>
  <si>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</si>
  <si>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</si>
  <si>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</si>
  <si>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</si>
  <si>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</si>
  <si>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</si>
  <si>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</si>
  <si>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</si>
  <si>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</si>
  <si>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</si>
  <si>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</si>
  <si>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</si>
  <si>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</si>
  <si>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</si>
  <si>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</si>
  <si>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</si>
  <si>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</si>
  <si>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</si>
  <si>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</si>
  <si>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</si>
  <si>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</si>
  <si>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</si>
  <si>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</si>
  <si>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</si>
  <si>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</si>
  <si>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</si>
  <si>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</si>
  <si>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</si>
  <si>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</si>
  <si>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</si>
  <si>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</si>
  <si>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</si>
  <si>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</si>
  <si>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</si>
  <si>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</si>
  <si>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</si>
  <si>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</si>
  <si>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</si>
  <si>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</si>
  <si>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</si>
  <si>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</si>
  <si>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</si>
  <si>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</si>
  <si>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</si>
  <si>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</si>
  <si>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</si>
  <si>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</si>
  <si>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</si>
  <si>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</si>
  <si>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</si>
  <si>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</si>
  <si>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</si>
  <si>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</si>
  <si>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</si>
  <si>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</si>
  <si>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</si>
  <si>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</si>
  <si>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</si>
  <si>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</si>
  <si>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</si>
  <si>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</si>
  <si>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</si>
  <si>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</si>
  <si>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</si>
  <si>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</si>
  <si>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</si>
  <si>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</si>
  <si>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</si>
  <si>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</si>
  <si>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</si>
  <si>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</si>
  <si>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</si>
  <si>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</si>
  <si>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</si>
  <si>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</si>
  <si>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</si>
  <si>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</si>
  <si>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</si>
  <si>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</si>
  <si>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</si>
  <si>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</si>
  <si>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</si>
  <si>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</si>
  <si>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</si>
  <si>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</si>
  <si>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</si>
  <si>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</si>
  <si>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</si>
  <si>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</si>
  <si>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</si>
  <si>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</si>
  <si>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</si>
  <si>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</si>
  <si>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13017</t>
  </si>
  <si>
    <t>KASTERLEE</t>
  </si>
  <si>
    <t>Cultuurgrond (ha)</t>
  </si>
  <si>
    <t>Paarden&amp;pony's 200 - 600 kg</t>
  </si>
  <si>
    <t>Paarden&amp;pony's &lt; 200 kg</t>
  </si>
  <si>
    <t>op basis van VEA (maart 2018) en Inventaris Hernieuwbare Energiebronnen (juni 2018)</t>
  </si>
  <si>
    <t>VEA (juni 2018)</t>
  </si>
  <si>
    <t>Bart Denaegel</t>
  </si>
  <si>
    <t>Hofdreef 23 , 2460 Tielen</t>
  </si>
  <si>
    <t>WKK-0386 Bart Denaegel</t>
  </si>
  <si>
    <t>stirlingmotor</t>
  </si>
  <si>
    <t>IVEKA</t>
  </si>
  <si>
    <t>Dierckx Jan &amp; Peter VVZRL</t>
  </si>
  <si>
    <t>Hazendonk 8 , 2460 Kasterlee</t>
  </si>
  <si>
    <t>WKK-0593 Dierckx</t>
  </si>
  <si>
    <t>interne verbrandingsmotor</t>
  </si>
  <si>
    <t>WKK interne verbrandinsgmotor (gas)</t>
  </si>
  <si>
    <t>Aquafin NV</t>
  </si>
  <si>
    <t>Dijkstraat 8, 2630 Aartselaar</t>
  </si>
  <si>
    <t>BGS-0045 RWZI Lichtaart</t>
  </si>
  <si>
    <t>biogas - RWZI</t>
  </si>
  <si>
    <t>niet WKK interne verbrandingsmotor (gas)</t>
  </si>
  <si>
    <t>Hoebenschot 200, 2460 Lichtaart</t>
  </si>
  <si>
    <t>Iveka</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</si>
</sst>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198684.38516849797</c:v>
                </c:pt>
                <c:pt idx="1">
                  <c:v>51169.223610958179</c:v>
                </c:pt>
                <c:pt idx="2">
                  <c:v>782.71299999999997</c:v>
                </c:pt>
                <c:pt idx="3">
                  <c:v>18541.100486708503</c:v>
                </c:pt>
                <c:pt idx="4">
                  <c:v>37086.437698627815</c:v>
                </c:pt>
                <c:pt idx="5">
                  <c:v>95053.48004808907</c:v>
                </c:pt>
                <c:pt idx="6">
                  <c:v>1514.5804636067046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198684.38516849797</c:v>
                </c:pt>
                <c:pt idx="1">
                  <c:v>51169.223610958179</c:v>
                </c:pt>
                <c:pt idx="2">
                  <c:v>782.71299999999997</c:v>
                </c:pt>
                <c:pt idx="3">
                  <c:v>18541.100486708503</c:v>
                </c:pt>
                <c:pt idx="4">
                  <c:v>37086.437698627815</c:v>
                </c:pt>
                <c:pt idx="5">
                  <c:v>95053.48004808907</c:v>
                </c:pt>
                <c:pt idx="6">
                  <c:v>1514.5804636067046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34607.43928194519</c:v>
                </c:pt>
                <c:pt idx="2">
                  <c:v>10485.533751484749</c:v>
                </c:pt>
                <c:pt idx="3">
                  <c:v>152.36285877839035</c:v>
                </c:pt>
                <c:pt idx="4">
                  <c:v>4696.3078846126691</c:v>
                </c:pt>
                <c:pt idx="5">
                  <c:v>7737.3748850725133</c:v>
                </c:pt>
                <c:pt idx="6">
                  <c:v>23993.242288894318</c:v>
                </c:pt>
                <c:pt idx="7">
                  <c:v>387.17439159267803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16128"/>
        <c:axId val="182826112"/>
      </c:barChart>
      <c:catAx>
        <c:axId val="182816128"/>
        <c:scaling>
          <c:orientation val="minMax"/>
        </c:scaling>
        <c:axPos val="b"/>
        <c:numFmt formatCode="General" sourceLinked="0"/>
        <c:tickLblPos val="nextTo"/>
        <c:crossAx val="182826112"/>
        <c:crosses val="autoZero"/>
        <c:auto val="1"/>
        <c:lblAlgn val="ctr"/>
        <c:lblOffset val="100"/>
      </c:catAx>
      <c:valAx>
        <c:axId val="182826112"/>
        <c:scaling>
          <c:orientation val="minMax"/>
        </c:scaling>
        <c:axPos val="l"/>
        <c:majorGridlines/>
        <c:numFmt formatCode="#,##0" sourceLinked="1"/>
        <c:tickLblPos val="nextTo"/>
        <c:crossAx val="1828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34607.43928194519</c:v>
                </c:pt>
                <c:pt idx="2">
                  <c:v>10485.533751484749</c:v>
                </c:pt>
                <c:pt idx="3">
                  <c:v>152.36285877839035</c:v>
                </c:pt>
                <c:pt idx="4">
                  <c:v>4696.3078846126691</c:v>
                </c:pt>
                <c:pt idx="5">
                  <c:v>7737.3748850725133</c:v>
                </c:pt>
                <c:pt idx="6">
                  <c:v>23993.242288894318</c:v>
                </c:pt>
                <c:pt idx="7">
                  <c:v>387.17439159267803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13017</v>
      </c>
      <c r="B6" s="398"/>
      <c r="C6" s="399"/>
    </row>
    <row r="7" spans="1:7" s="396" customFormat="1" ht="15.75" customHeight="1">
      <c r="A7" s="400" t="str">
        <f>txtMunicipality</f>
        <v>KASTERLEE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23416.767378453627</v>
      </c>
      <c r="D10" s="690">
        <f ca="1">tertiair!C16</f>
        <v>0</v>
      </c>
      <c r="E10" s="690">
        <f ca="1">tertiair!D16</f>
        <v>23311.918781223383</v>
      </c>
      <c r="F10" s="690">
        <f>tertiair!E16</f>
        <v>421.18330798841453</v>
      </c>
      <c r="G10" s="690">
        <f ca="1">tertiair!F16</f>
        <v>4775.1838099594142</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7.8166666666666664</v>
      </c>
      <c r="Q10" s="691">
        <f>tertiair!P16</f>
        <v>19.066666666666666</v>
      </c>
      <c r="R10" s="693">
        <f ca="1">SUM(C10:Q10)</f>
        <v>51951.936610958175</v>
      </c>
      <c r="S10" s="67"/>
    </row>
    <row r="11" spans="1:19" s="458" customFormat="1">
      <c r="A11" s="805" t="s">
        <v>225</v>
      </c>
      <c r="B11" s="810"/>
      <c r="C11" s="690">
        <f>huishoudens!B8</f>
        <v>32731.6079140398</v>
      </c>
      <c r="D11" s="690">
        <f>huishoudens!C8</f>
        <v>0</v>
      </c>
      <c r="E11" s="690">
        <f>huishoudens!D8</f>
        <v>69994.47019982239</v>
      </c>
      <c r="F11" s="690">
        <f>huishoudens!E8</f>
        <v>3603.4502870388869</v>
      </c>
      <c r="G11" s="690">
        <f>huishoudens!F8</f>
        <v>49734.234231310533</v>
      </c>
      <c r="H11" s="690">
        <f>huishoudens!G8</f>
        <v>0</v>
      </c>
      <c r="I11" s="690">
        <f>huishoudens!H8</f>
        <v>0</v>
      </c>
      <c r="J11" s="690">
        <f>huishoudens!I8</f>
        <v>0</v>
      </c>
      <c r="K11" s="690">
        <f>huishoudens!J8</f>
        <v>0</v>
      </c>
      <c r="L11" s="690">
        <f>huishoudens!K8</f>
        <v>0</v>
      </c>
      <c r="M11" s="690">
        <f>huishoudens!L8</f>
        <v>0</v>
      </c>
      <c r="N11" s="690">
        <f>huishoudens!M8</f>
        <v>0</v>
      </c>
      <c r="O11" s="690">
        <f>huishoudens!N8</f>
        <v>41384.939202953028</v>
      </c>
      <c r="P11" s="690">
        <f>huishoudens!O8</f>
        <v>320.48333333333335</v>
      </c>
      <c r="Q11" s="691">
        <f>huishoudens!P8</f>
        <v>915.2</v>
      </c>
      <c r="R11" s="693">
        <f>SUM(C11:Q11)</f>
        <v>198684.38516849797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12031.36554821428</v>
      </c>
      <c r="D13" s="690">
        <f>industrie!C18</f>
        <v>0</v>
      </c>
      <c r="E13" s="690">
        <f>industrie!D18</f>
        <v>3925.726720814469</v>
      </c>
      <c r="F13" s="690">
        <f>industrie!E18</f>
        <v>1222.0521349869225</v>
      </c>
      <c r="G13" s="690">
        <f>industrie!F18</f>
        <v>16197.131734559631</v>
      </c>
      <c r="H13" s="690">
        <f>industrie!G18</f>
        <v>0</v>
      </c>
      <c r="I13" s="690">
        <f>industrie!H18</f>
        <v>0</v>
      </c>
      <c r="J13" s="690">
        <f>industrie!I18</f>
        <v>0</v>
      </c>
      <c r="K13" s="690">
        <f>industrie!J18</f>
        <v>0.88499742149950333</v>
      </c>
      <c r="L13" s="690">
        <f>industrie!K18</f>
        <v>0</v>
      </c>
      <c r="M13" s="690">
        <f>industrie!L18</f>
        <v>0</v>
      </c>
      <c r="N13" s="690">
        <f>industrie!M18</f>
        <v>0</v>
      </c>
      <c r="O13" s="690">
        <f>industrie!N18</f>
        <v>3709.2765626310124</v>
      </c>
      <c r="P13" s="690">
        <f>industrie!O18</f>
        <v>0</v>
      </c>
      <c r="Q13" s="691">
        <f>industrie!P18</f>
        <v>0</v>
      </c>
      <c r="R13" s="693">
        <f>SUM(C13:Q13)</f>
        <v>37086.437698627815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68179.740840707702</v>
      </c>
      <c r="D16" s="725">
        <f t="shared" ref="D16:R16" ca="1" si="0">SUM(D9:D15)</f>
        <v>0</v>
      </c>
      <c r="E16" s="725">
        <f t="shared" ca="1" si="0"/>
        <v>97232.115701860239</v>
      </c>
      <c r="F16" s="725">
        <f t="shared" si="0"/>
        <v>5246.6857300142237</v>
      </c>
      <c r="G16" s="725">
        <f t="shared" ca="1" si="0"/>
        <v>70706.549775829582</v>
      </c>
      <c r="H16" s="725">
        <f t="shared" si="0"/>
        <v>0</v>
      </c>
      <c r="I16" s="725">
        <f t="shared" si="0"/>
        <v>0</v>
      </c>
      <c r="J16" s="725">
        <f t="shared" si="0"/>
        <v>0</v>
      </c>
      <c r="K16" s="725">
        <f t="shared" si="0"/>
        <v>0.88499742149950333</v>
      </c>
      <c r="L16" s="725">
        <f t="shared" si="0"/>
        <v>0</v>
      </c>
      <c r="M16" s="725">
        <f t="shared" ca="1" si="0"/>
        <v>0</v>
      </c>
      <c r="N16" s="725">
        <f t="shared" si="0"/>
        <v>0</v>
      </c>
      <c r="O16" s="725">
        <f t="shared" ca="1" si="0"/>
        <v>45094.215765584042</v>
      </c>
      <c r="P16" s="725">
        <f t="shared" si="0"/>
        <v>328.3</v>
      </c>
      <c r="Q16" s="725">
        <f t="shared" si="0"/>
        <v>934.26666666666677</v>
      </c>
      <c r="R16" s="725">
        <f t="shared" ca="1" si="0"/>
        <v>287722.75947808399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1450.091354279693</v>
      </c>
      <c r="I19" s="690">
        <f>transport!H54</f>
        <v>0</v>
      </c>
      <c r="J19" s="690">
        <f>transport!I54</f>
        <v>0</v>
      </c>
      <c r="K19" s="690">
        <f>transport!J54</f>
        <v>0</v>
      </c>
      <c r="L19" s="690">
        <f>transport!K54</f>
        <v>0</v>
      </c>
      <c r="M19" s="690">
        <f>transport!L54</f>
        <v>0</v>
      </c>
      <c r="N19" s="690">
        <f>transport!M54</f>
        <v>64.489109327011548</v>
      </c>
      <c r="O19" s="690">
        <f>transport!N54</f>
        <v>0</v>
      </c>
      <c r="P19" s="690">
        <f>transport!O54</f>
        <v>0</v>
      </c>
      <c r="Q19" s="691">
        <f>transport!P54</f>
        <v>0</v>
      </c>
      <c r="R19" s="693">
        <f>SUM(C19:Q19)</f>
        <v>1514.5804636067046</v>
      </c>
      <c r="S19" s="67"/>
    </row>
    <row r="20" spans="1:19" s="458" customFormat="1">
      <c r="A20" s="805" t="s">
        <v>307</v>
      </c>
      <c r="B20" s="810"/>
      <c r="C20" s="690">
        <f>transport!B14</f>
        <v>6.4303229085263007</v>
      </c>
      <c r="D20" s="690">
        <f>transport!C14</f>
        <v>0</v>
      </c>
      <c r="E20" s="690">
        <f>transport!D14</f>
        <v>10.307636660175</v>
      </c>
      <c r="F20" s="690">
        <f>transport!E14</f>
        <v>316.94192325372597</v>
      </c>
      <c r="G20" s="690">
        <f>transport!F14</f>
        <v>0</v>
      </c>
      <c r="H20" s="690">
        <f>transport!G14</f>
        <v>75170.141169208713</v>
      </c>
      <c r="I20" s="690">
        <f>transport!H14</f>
        <v>15451.9474350051</v>
      </c>
      <c r="J20" s="690">
        <f>transport!I14</f>
        <v>0</v>
      </c>
      <c r="K20" s="690">
        <f>transport!J14</f>
        <v>0</v>
      </c>
      <c r="L20" s="690">
        <f>transport!K14</f>
        <v>0</v>
      </c>
      <c r="M20" s="690">
        <f>transport!L14</f>
        <v>0</v>
      </c>
      <c r="N20" s="690">
        <f>transport!M14</f>
        <v>4097.7115610528217</v>
      </c>
      <c r="O20" s="690">
        <f>transport!N14</f>
        <v>0</v>
      </c>
      <c r="P20" s="690">
        <f>transport!O14</f>
        <v>0</v>
      </c>
      <c r="Q20" s="691">
        <f>transport!P14</f>
        <v>0</v>
      </c>
      <c r="R20" s="693">
        <f>SUM(C20:Q20)</f>
        <v>95053.48004808907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6.4303229085263007</v>
      </c>
      <c r="D22" s="808">
        <f t="shared" ref="D22:R22" si="1">SUM(D18:D21)</f>
        <v>0</v>
      </c>
      <c r="E22" s="808">
        <f t="shared" si="1"/>
        <v>10.307636660175</v>
      </c>
      <c r="F22" s="808">
        <f t="shared" si="1"/>
        <v>316.94192325372597</v>
      </c>
      <c r="G22" s="808">
        <f t="shared" si="1"/>
        <v>0</v>
      </c>
      <c r="H22" s="808">
        <f t="shared" si="1"/>
        <v>76620.232523488405</v>
      </c>
      <c r="I22" s="808">
        <f t="shared" si="1"/>
        <v>15451.9474350051</v>
      </c>
      <c r="J22" s="808">
        <f t="shared" si="1"/>
        <v>0</v>
      </c>
      <c r="K22" s="808">
        <f t="shared" si="1"/>
        <v>0</v>
      </c>
      <c r="L22" s="808">
        <f t="shared" si="1"/>
        <v>0</v>
      </c>
      <c r="M22" s="808">
        <f t="shared" si="1"/>
        <v>0</v>
      </c>
      <c r="N22" s="808">
        <f t="shared" si="1"/>
        <v>4162.2006703798334</v>
      </c>
      <c r="O22" s="808">
        <f t="shared" si="1"/>
        <v>0</v>
      </c>
      <c r="P22" s="808">
        <f t="shared" si="1"/>
        <v>0</v>
      </c>
      <c r="Q22" s="808">
        <f t="shared" si="1"/>
        <v>0</v>
      </c>
      <c r="R22" s="808">
        <f t="shared" si="1"/>
        <v>96568.060511695774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3984.1690697685917</v>
      </c>
      <c r="D24" s="690">
        <f>+landbouw!C8</f>
        <v>27.696428571428569</v>
      </c>
      <c r="E24" s="690">
        <f>+landbouw!D8</f>
        <v>133.47420308622043</v>
      </c>
      <c r="F24" s="690">
        <f>+landbouw!E8</f>
        <v>50.205662932420147</v>
      </c>
      <c r="G24" s="690">
        <f>+landbouw!F8</f>
        <v>13746.38138469218</v>
      </c>
      <c r="H24" s="690">
        <f>+landbouw!G8</f>
        <v>0</v>
      </c>
      <c r="I24" s="690">
        <f>+landbouw!H8</f>
        <v>0</v>
      </c>
      <c r="J24" s="690">
        <f>+landbouw!I8</f>
        <v>0</v>
      </c>
      <c r="K24" s="690">
        <f>+landbouw!J8</f>
        <v>599.17373765765933</v>
      </c>
      <c r="L24" s="690">
        <f>+landbouw!K8</f>
        <v>0</v>
      </c>
      <c r="M24" s="690">
        <f>+landbouw!L8</f>
        <v>0</v>
      </c>
      <c r="N24" s="690">
        <f>+landbouw!M8</f>
        <v>0</v>
      </c>
      <c r="O24" s="690">
        <f>+landbouw!N8</f>
        <v>0</v>
      </c>
      <c r="P24" s="690">
        <f>+landbouw!O8</f>
        <v>0</v>
      </c>
      <c r="Q24" s="691">
        <f>+landbouw!P8</f>
        <v>0</v>
      </c>
      <c r="R24" s="693">
        <f>SUM(C24:Q24)</f>
        <v>18541.100486708503</v>
      </c>
      <c r="S24" s="67"/>
    </row>
    <row r="25" spans="1:19" s="458" customFormat="1" ht="15" thickBot="1">
      <c r="A25" s="827" t="s">
        <v>872</v>
      </c>
      <c r="B25" s="1004"/>
      <c r="C25" s="1005">
        <f>IF(Onbekend_ele_kWh="---",0,Onbekend_ele_kWh)/1000+IF(REST_rest_ele_kWh="---",0,REST_rest_ele_kWh)/1000</f>
        <v>2117.4790626630802</v>
      </c>
      <c r="D25" s="1005"/>
      <c r="E25" s="1005">
        <f>IF(onbekend_gas_kWh="---",0,onbekend_gas_kWh)/1000+IF(REST_rest_gas_kWh="---",0,REST_rest_gas_kWh)/1000</f>
        <v>4504.6171078146199</v>
      </c>
      <c r="F25" s="1005"/>
      <c r="G25" s="1005"/>
      <c r="H25" s="1005"/>
      <c r="I25" s="1005"/>
      <c r="J25" s="1005"/>
      <c r="K25" s="1005"/>
      <c r="L25" s="1005"/>
      <c r="M25" s="1005"/>
      <c r="N25" s="1005"/>
      <c r="O25" s="1005"/>
      <c r="P25" s="1005"/>
      <c r="Q25" s="1006"/>
      <c r="R25" s="693">
        <f>SUM(C25:Q25)</f>
        <v>6622.0961704777001</v>
      </c>
      <c r="S25" s="67"/>
    </row>
    <row r="26" spans="1:19" s="458" customFormat="1" ht="15.75" thickBot="1">
      <c r="A26" s="698" t="s">
        <v>873</v>
      </c>
      <c r="B26" s="813"/>
      <c r="C26" s="808">
        <f>SUM(C24:C25)</f>
        <v>6101.6481324316719</v>
      </c>
      <c r="D26" s="808">
        <f t="shared" ref="D26:R26" si="2">SUM(D24:D25)</f>
        <v>27.696428571428569</v>
      </c>
      <c r="E26" s="808">
        <f t="shared" si="2"/>
        <v>4638.0913109008407</v>
      </c>
      <c r="F26" s="808">
        <f t="shared" si="2"/>
        <v>50.205662932420147</v>
      </c>
      <c r="G26" s="808">
        <f t="shared" si="2"/>
        <v>13746.38138469218</v>
      </c>
      <c r="H26" s="808">
        <f t="shared" si="2"/>
        <v>0</v>
      </c>
      <c r="I26" s="808">
        <f t="shared" si="2"/>
        <v>0</v>
      </c>
      <c r="J26" s="808">
        <f t="shared" si="2"/>
        <v>0</v>
      </c>
      <c r="K26" s="808">
        <f t="shared" si="2"/>
        <v>599.17373765765933</v>
      </c>
      <c r="L26" s="808">
        <f t="shared" si="2"/>
        <v>0</v>
      </c>
      <c r="M26" s="808">
        <f t="shared" si="2"/>
        <v>0</v>
      </c>
      <c r="N26" s="808">
        <f t="shared" si="2"/>
        <v>0</v>
      </c>
      <c r="O26" s="808">
        <f t="shared" si="2"/>
        <v>0</v>
      </c>
      <c r="P26" s="808">
        <f t="shared" si="2"/>
        <v>0</v>
      </c>
      <c r="Q26" s="808">
        <f t="shared" si="2"/>
        <v>0</v>
      </c>
      <c r="R26" s="808">
        <f t="shared" si="2"/>
        <v>25163.196657186203</v>
      </c>
      <c r="S26" s="67"/>
    </row>
    <row r="27" spans="1:19" s="458" customFormat="1" ht="17.25" thickTop="1" thickBot="1">
      <c r="A27" s="699" t="s">
        <v>116</v>
      </c>
      <c r="B27" s="800"/>
      <c r="C27" s="700">
        <f ca="1">C22+C16+C26</f>
        <v>74287.819296047892</v>
      </c>
      <c r="D27" s="700">
        <f t="shared" ref="D27:R27" ca="1" si="3">D22+D16+D26</f>
        <v>27.696428571428569</v>
      </c>
      <c r="E27" s="700">
        <f t="shared" ca="1" si="3"/>
        <v>101880.51464942125</v>
      </c>
      <c r="F27" s="700">
        <f t="shared" si="3"/>
        <v>5613.8333162003692</v>
      </c>
      <c r="G27" s="700">
        <f t="shared" ca="1" si="3"/>
        <v>84452.931160521766</v>
      </c>
      <c r="H27" s="700">
        <f t="shared" si="3"/>
        <v>76620.232523488405</v>
      </c>
      <c r="I27" s="700">
        <f t="shared" si="3"/>
        <v>15451.9474350051</v>
      </c>
      <c r="J27" s="700">
        <f t="shared" si="3"/>
        <v>0</v>
      </c>
      <c r="K27" s="700">
        <f t="shared" si="3"/>
        <v>600.05873507915885</v>
      </c>
      <c r="L27" s="700">
        <f t="shared" si="3"/>
        <v>0</v>
      </c>
      <c r="M27" s="700">
        <f t="shared" ca="1" si="3"/>
        <v>0</v>
      </c>
      <c r="N27" s="700">
        <f t="shared" si="3"/>
        <v>4162.2006703798334</v>
      </c>
      <c r="O27" s="700">
        <f t="shared" ca="1" si="3"/>
        <v>45094.215765584042</v>
      </c>
      <c r="P27" s="700">
        <f t="shared" si="3"/>
        <v>328.3</v>
      </c>
      <c r="Q27" s="700">
        <f t="shared" si="3"/>
        <v>934.26666666666677</v>
      </c>
      <c r="R27" s="700">
        <f t="shared" ca="1" si="3"/>
        <v>409454.01664696593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4558.306328283481</v>
      </c>
      <c r="D40" s="690">
        <f ca="1">tertiair!C20</f>
        <v>0</v>
      </c>
      <c r="E40" s="690">
        <f ca="1">tertiair!D20</f>
        <v>4709.0075938071241</v>
      </c>
      <c r="F40" s="690">
        <f>tertiair!E20</f>
        <v>95.6086109133701</v>
      </c>
      <c r="G40" s="690">
        <f ca="1">tertiair!F20</f>
        <v>1274.9740772591638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10637.896610263138</v>
      </c>
    </row>
    <row r="41" spans="1:18">
      <c r="A41" s="818" t="s">
        <v>225</v>
      </c>
      <c r="B41" s="825"/>
      <c r="C41" s="690">
        <f ca="1">huishoudens!B12</f>
        <v>6371.532546663323</v>
      </c>
      <c r="D41" s="690">
        <f ca="1">huishoudens!C12</f>
        <v>0</v>
      </c>
      <c r="E41" s="690">
        <f>huishoudens!D12</f>
        <v>14138.882980364124</v>
      </c>
      <c r="F41" s="690">
        <f>huishoudens!E12</f>
        <v>817.98321515782732</v>
      </c>
      <c r="G41" s="690">
        <f>huishoudens!F12</f>
        <v>13279.040539759913</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34607.43928194519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2342.0247906113268</v>
      </c>
      <c r="D43" s="690">
        <f ca="1">industrie!C22</f>
        <v>0</v>
      </c>
      <c r="E43" s="690">
        <f>industrie!D22</f>
        <v>792.99679760452284</v>
      </c>
      <c r="F43" s="690">
        <f>industrie!E22</f>
        <v>277.40583464203144</v>
      </c>
      <c r="G43" s="690">
        <f>industrie!F22</f>
        <v>4324.6341731274215</v>
      </c>
      <c r="H43" s="690">
        <f>industrie!G22</f>
        <v>0</v>
      </c>
      <c r="I43" s="690">
        <f>industrie!H22</f>
        <v>0</v>
      </c>
      <c r="J43" s="690">
        <f>industrie!I22</f>
        <v>0</v>
      </c>
      <c r="K43" s="690">
        <f>industrie!J22</f>
        <v>0.31328908721082416</v>
      </c>
      <c r="L43" s="690">
        <f>industrie!K22</f>
        <v>0</v>
      </c>
      <c r="M43" s="690">
        <f>industrie!L22</f>
        <v>0</v>
      </c>
      <c r="N43" s="690">
        <f>industrie!M22</f>
        <v>0</v>
      </c>
      <c r="O43" s="690">
        <f>industrie!N22</f>
        <v>0</v>
      </c>
      <c r="P43" s="690">
        <f>industrie!O22</f>
        <v>0</v>
      </c>
      <c r="Q43" s="767">
        <f>industrie!P22</f>
        <v>0</v>
      </c>
      <c r="R43" s="845">
        <f t="shared" ca="1" si="4"/>
        <v>7737.3748850725133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13271.86366555813</v>
      </c>
      <c r="D46" s="725">
        <f t="shared" ref="D46:Q46" ca="1" si="5">SUM(D39:D45)</f>
        <v>0</v>
      </c>
      <c r="E46" s="725">
        <f t="shared" ca="1" si="5"/>
        <v>19640.887371775771</v>
      </c>
      <c r="F46" s="725">
        <f t="shared" si="5"/>
        <v>1190.9976607132289</v>
      </c>
      <c r="G46" s="725">
        <f t="shared" ca="1" si="5"/>
        <v>18878.648790146497</v>
      </c>
      <c r="H46" s="725">
        <f t="shared" si="5"/>
        <v>0</v>
      </c>
      <c r="I46" s="725">
        <f t="shared" si="5"/>
        <v>0</v>
      </c>
      <c r="J46" s="725">
        <f t="shared" si="5"/>
        <v>0</v>
      </c>
      <c r="K46" s="725">
        <f t="shared" si="5"/>
        <v>0.31328908721082416</v>
      </c>
      <c r="L46" s="725">
        <f t="shared" si="5"/>
        <v>0</v>
      </c>
      <c r="M46" s="725">
        <f t="shared" ca="1" si="5"/>
        <v>0</v>
      </c>
      <c r="N46" s="725">
        <f t="shared" si="5"/>
        <v>0</v>
      </c>
      <c r="O46" s="725">
        <f t="shared" ca="1" si="5"/>
        <v>0</v>
      </c>
      <c r="P46" s="725">
        <f t="shared" si="5"/>
        <v>0</v>
      </c>
      <c r="Q46" s="725">
        <f t="shared" si="5"/>
        <v>0</v>
      </c>
      <c r="R46" s="725">
        <f ca="1">SUM(R39:R45)</f>
        <v>52982.710777280838</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387.17439159267803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387.17439159267803</v>
      </c>
    </row>
    <row r="50" spans="1:18">
      <c r="A50" s="821" t="s">
        <v>307</v>
      </c>
      <c r="B50" s="831"/>
      <c r="C50" s="696">
        <f ca="1">transport!B18</f>
        <v>1.2517262153704372</v>
      </c>
      <c r="D50" s="696">
        <f>transport!C18</f>
        <v>0</v>
      </c>
      <c r="E50" s="696">
        <f>transport!D18</f>
        <v>2.08214260535535</v>
      </c>
      <c r="F50" s="696">
        <f>transport!E18</f>
        <v>71.945816578595796</v>
      </c>
      <c r="G50" s="696">
        <f>transport!F18</f>
        <v>0</v>
      </c>
      <c r="H50" s="696">
        <f>transport!G18</f>
        <v>20070.427692178728</v>
      </c>
      <c r="I50" s="696">
        <f>transport!H18</f>
        <v>3847.5349113162702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23993.242288894318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1.2517262153704372</v>
      </c>
      <c r="D52" s="725">
        <f t="shared" ref="D52:Q52" ca="1" si="6">SUM(D48:D51)</f>
        <v>0</v>
      </c>
      <c r="E52" s="725">
        <f t="shared" si="6"/>
        <v>2.08214260535535</v>
      </c>
      <c r="F52" s="725">
        <f t="shared" si="6"/>
        <v>71.945816578595796</v>
      </c>
      <c r="G52" s="725">
        <f t="shared" si="6"/>
        <v>0</v>
      </c>
      <c r="H52" s="725">
        <f t="shared" si="6"/>
        <v>20457.602083771406</v>
      </c>
      <c r="I52" s="725">
        <f t="shared" si="6"/>
        <v>3847.5349113162702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24380.416680486996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775.55807725996976</v>
      </c>
      <c r="D54" s="696">
        <f ca="1">+landbouw!C12</f>
        <v>0</v>
      </c>
      <c r="E54" s="696">
        <f>+landbouw!D12</f>
        <v>26.961789023416529</v>
      </c>
      <c r="F54" s="696">
        <f>+landbouw!E12</f>
        <v>11.396685485659374</v>
      </c>
      <c r="G54" s="696">
        <f>+landbouw!F12</f>
        <v>3670.2838297128123</v>
      </c>
      <c r="H54" s="696">
        <f>+landbouw!G12</f>
        <v>0</v>
      </c>
      <c r="I54" s="696">
        <f>+landbouw!H12</f>
        <v>0</v>
      </c>
      <c r="J54" s="696">
        <f>+landbouw!I12</f>
        <v>0</v>
      </c>
      <c r="K54" s="696">
        <f>+landbouw!J12</f>
        <v>212.10750313081138</v>
      </c>
      <c r="L54" s="696">
        <f>+landbouw!K12</f>
        <v>0</v>
      </c>
      <c r="M54" s="696">
        <f>+landbouw!L12</f>
        <v>0</v>
      </c>
      <c r="N54" s="696">
        <f>+landbouw!M12</f>
        <v>0</v>
      </c>
      <c r="O54" s="696">
        <f>+landbouw!N12</f>
        <v>0</v>
      </c>
      <c r="P54" s="696">
        <f>+landbouw!O12</f>
        <v>0</v>
      </c>
      <c r="Q54" s="697">
        <f>+landbouw!P12</f>
        <v>0</v>
      </c>
      <c r="R54" s="724">
        <f ca="1">SUM(C54:Q54)</f>
        <v>4696.3078846126691</v>
      </c>
    </row>
    <row r="55" spans="1:18" ht="15" thickBot="1">
      <c r="A55" s="821" t="s">
        <v>872</v>
      </c>
      <c r="B55" s="831"/>
      <c r="C55" s="696">
        <f ca="1">C25*'EF ele_warmte'!B12</f>
        <v>412.18832878811679</v>
      </c>
      <c r="D55" s="696"/>
      <c r="E55" s="696">
        <f>E25*EF_CO2_aardgas</f>
        <v>909.93265577855323</v>
      </c>
      <c r="F55" s="696"/>
      <c r="G55" s="696"/>
      <c r="H55" s="696"/>
      <c r="I55" s="696"/>
      <c r="J55" s="696"/>
      <c r="K55" s="696"/>
      <c r="L55" s="696"/>
      <c r="M55" s="696"/>
      <c r="N55" s="696"/>
      <c r="O55" s="696"/>
      <c r="P55" s="696"/>
      <c r="Q55" s="697"/>
      <c r="R55" s="724">
        <f ca="1">SUM(C55:Q55)</f>
        <v>1322.1209845666699</v>
      </c>
    </row>
    <row r="56" spans="1:18" ht="15.75" thickBot="1">
      <c r="A56" s="819" t="s">
        <v>873</v>
      </c>
      <c r="B56" s="832"/>
      <c r="C56" s="725">
        <f ca="1">SUM(C54:C55)</f>
        <v>1187.7464060480866</v>
      </c>
      <c r="D56" s="725">
        <f t="shared" ref="D56:Q56" ca="1" si="7">SUM(D54:D55)</f>
        <v>0</v>
      </c>
      <c r="E56" s="725">
        <f t="shared" si="7"/>
        <v>936.89444480196971</v>
      </c>
      <c r="F56" s="725">
        <f t="shared" si="7"/>
        <v>11.396685485659374</v>
      </c>
      <c r="G56" s="725">
        <f t="shared" si="7"/>
        <v>3670.2838297128123</v>
      </c>
      <c r="H56" s="725">
        <f t="shared" si="7"/>
        <v>0</v>
      </c>
      <c r="I56" s="725">
        <f t="shared" si="7"/>
        <v>0</v>
      </c>
      <c r="J56" s="725">
        <f t="shared" si="7"/>
        <v>0</v>
      </c>
      <c r="K56" s="725">
        <f t="shared" si="7"/>
        <v>212.10750313081138</v>
      </c>
      <c r="L56" s="725">
        <f t="shared" si="7"/>
        <v>0</v>
      </c>
      <c r="M56" s="725">
        <f t="shared" si="7"/>
        <v>0</v>
      </c>
      <c r="N56" s="725">
        <f t="shared" si="7"/>
        <v>0</v>
      </c>
      <c r="O56" s="725">
        <f t="shared" si="7"/>
        <v>0</v>
      </c>
      <c r="P56" s="725">
        <f t="shared" si="7"/>
        <v>0</v>
      </c>
      <c r="Q56" s="726">
        <f t="shared" si="7"/>
        <v>0</v>
      </c>
      <c r="R56" s="727">
        <f ca="1">SUM(R54:R55)</f>
        <v>6018.428869179339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14460.861797821588</v>
      </c>
      <c r="D61" s="733">
        <f t="shared" ref="D61:Q61" ca="1" si="8">D46+D52+D56</f>
        <v>0</v>
      </c>
      <c r="E61" s="733">
        <f t="shared" ca="1" si="8"/>
        <v>20579.863959183094</v>
      </c>
      <c r="F61" s="733">
        <f t="shared" si="8"/>
        <v>1274.3401627774842</v>
      </c>
      <c r="G61" s="733">
        <f t="shared" ca="1" si="8"/>
        <v>22548.932619859308</v>
      </c>
      <c r="H61" s="733">
        <f t="shared" si="8"/>
        <v>20457.602083771406</v>
      </c>
      <c r="I61" s="733">
        <f t="shared" si="8"/>
        <v>3847.5349113162702</v>
      </c>
      <c r="J61" s="733">
        <f t="shared" si="8"/>
        <v>0</v>
      </c>
      <c r="K61" s="733">
        <f t="shared" si="8"/>
        <v>212.4207922180222</v>
      </c>
      <c r="L61" s="733">
        <f t="shared" si="8"/>
        <v>0</v>
      </c>
      <c r="M61" s="733">
        <f t="shared" ca="1" si="8"/>
        <v>0</v>
      </c>
      <c r="N61" s="733">
        <f t="shared" si="8"/>
        <v>0</v>
      </c>
      <c r="O61" s="733">
        <f t="shared" ca="1" si="8"/>
        <v>0</v>
      </c>
      <c r="P61" s="733">
        <f t="shared" si="8"/>
        <v>0</v>
      </c>
      <c r="Q61" s="733">
        <f t="shared" si="8"/>
        <v>0</v>
      </c>
      <c r="R61" s="733">
        <f ca="1">R46+R52+R56</f>
        <v>83381.556326947175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0.19465993126265999</v>
      </c>
      <c r="D63" s="776">
        <f t="shared" ca="1" si="9"/>
        <v>0</v>
      </c>
      <c r="E63" s="1011">
        <f t="shared" ca="1" si="9"/>
        <v>0.20200000000000001</v>
      </c>
      <c r="F63" s="776">
        <f t="shared" si="9"/>
        <v>0.22700000000000009</v>
      </c>
      <c r="G63" s="776">
        <f t="shared" ca="1" si="9"/>
        <v>0.26699999999999996</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1214.5020050000001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6290.4159999999993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8.1374999999999993</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9.1727836746897875</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1341</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3831.4285714285716</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8854.0555050000003</v>
      </c>
      <c r="C78" s="748">
        <f>SUM(C72:C77)</f>
        <v>0</v>
      </c>
      <c r="D78" s="749">
        <f t="shared" ref="D78:H78" si="10">SUM(D76:D77)</f>
        <v>0</v>
      </c>
      <c r="E78" s="749">
        <f t="shared" si="10"/>
        <v>0</v>
      </c>
      <c r="F78" s="749">
        <f t="shared" si="10"/>
        <v>0</v>
      </c>
      <c r="G78" s="749">
        <f t="shared" si="10"/>
        <v>0</v>
      </c>
      <c r="H78" s="749">
        <f t="shared" si="10"/>
        <v>0</v>
      </c>
      <c r="I78" s="749">
        <f>SUM(I76:I77)</f>
        <v>0</v>
      </c>
      <c r="J78" s="749">
        <f>SUM(J76:J77)</f>
        <v>3840.6013551032615</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27.696428571428569</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31.22007346816735</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27.696428571428569</v>
      </c>
      <c r="C90" s="748">
        <f>SUM(C87:C89)</f>
        <v>0</v>
      </c>
      <c r="D90" s="748">
        <f t="shared" ref="D90:H90" si="12">SUM(D87:D89)</f>
        <v>0</v>
      </c>
      <c r="E90" s="748">
        <f t="shared" si="12"/>
        <v>0</v>
      </c>
      <c r="F90" s="748">
        <f t="shared" si="12"/>
        <v>0</v>
      </c>
      <c r="G90" s="748">
        <f t="shared" si="12"/>
        <v>0</v>
      </c>
      <c r="H90" s="748">
        <f t="shared" si="12"/>
        <v>0</v>
      </c>
      <c r="I90" s="748">
        <f>SUM(I87:I89)</f>
        <v>0</v>
      </c>
      <c r="J90" s="748">
        <f>SUM(J87:J89)</f>
        <v>31.22007346816735</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32731.6079140398</v>
      </c>
      <c r="C4" s="462">
        <f>huishoudens!C8</f>
        <v>0</v>
      </c>
      <c r="D4" s="462">
        <f>huishoudens!D8</f>
        <v>69994.47019982239</v>
      </c>
      <c r="E4" s="462">
        <f>huishoudens!E8</f>
        <v>3603.4502870388869</v>
      </c>
      <c r="F4" s="462">
        <f>huishoudens!F8</f>
        <v>49734.234231310533</v>
      </c>
      <c r="G4" s="462">
        <f>huishoudens!G8</f>
        <v>0</v>
      </c>
      <c r="H4" s="462">
        <f>huishoudens!H8</f>
        <v>0</v>
      </c>
      <c r="I4" s="462">
        <f>huishoudens!I8</f>
        <v>0</v>
      </c>
      <c r="J4" s="462">
        <f>huishoudens!J8</f>
        <v>0</v>
      </c>
      <c r="K4" s="462">
        <f>huishoudens!K8</f>
        <v>0</v>
      </c>
      <c r="L4" s="462">
        <f>huishoudens!L8</f>
        <v>0</v>
      </c>
      <c r="M4" s="462">
        <f>huishoudens!M8</f>
        <v>0</v>
      </c>
      <c r="N4" s="462">
        <f>huishoudens!N8</f>
        <v>41384.939202953028</v>
      </c>
      <c r="O4" s="462">
        <f>huishoudens!O8</f>
        <v>320.48333333333335</v>
      </c>
      <c r="P4" s="463">
        <f>huishoudens!P8</f>
        <v>915.2</v>
      </c>
      <c r="Q4" s="464">
        <f>SUM(B4:P4)</f>
        <v>198684.38516849797</v>
      </c>
    </row>
    <row r="5" spans="1:17">
      <c r="A5" s="461" t="s">
        <v>156</v>
      </c>
      <c r="B5" s="462">
        <f ca="1">tertiair!B16</f>
        <v>22634.054378453628</v>
      </c>
      <c r="C5" s="462">
        <f ca="1">tertiair!C16</f>
        <v>0</v>
      </c>
      <c r="D5" s="462">
        <f ca="1">tertiair!D16</f>
        <v>23311.918781223383</v>
      </c>
      <c r="E5" s="462">
        <f>tertiair!E16</f>
        <v>421.18330798841453</v>
      </c>
      <c r="F5" s="462">
        <f ca="1">tertiair!F16</f>
        <v>4775.1838099594142</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7.8166666666666664</v>
      </c>
      <c r="P5" s="463">
        <f>tertiair!P16</f>
        <v>19.066666666666666</v>
      </c>
      <c r="Q5" s="461">
        <f t="shared" ref="Q5:Q14" ca="1" si="0">SUM(B5:P5)</f>
        <v>51169.223610958179</v>
      </c>
    </row>
    <row r="6" spans="1:17">
      <c r="A6" s="461" t="s">
        <v>194</v>
      </c>
      <c r="B6" s="462">
        <f>'openbare verlichting'!B8</f>
        <v>782.71299999999997</v>
      </c>
      <c r="C6" s="462"/>
      <c r="D6" s="462"/>
      <c r="E6" s="462"/>
      <c r="F6" s="462"/>
      <c r="G6" s="462"/>
      <c r="H6" s="462"/>
      <c r="I6" s="462"/>
      <c r="J6" s="462"/>
      <c r="K6" s="462"/>
      <c r="L6" s="462"/>
      <c r="M6" s="462"/>
      <c r="N6" s="462"/>
      <c r="O6" s="462"/>
      <c r="P6" s="463"/>
      <c r="Q6" s="461">
        <f t="shared" si="0"/>
        <v>782.71299999999997</v>
      </c>
    </row>
    <row r="7" spans="1:17">
      <c r="A7" s="461" t="s">
        <v>112</v>
      </c>
      <c r="B7" s="462">
        <f>landbouw!B8</f>
        <v>3984.1690697685917</v>
      </c>
      <c r="C7" s="462">
        <f>landbouw!C8</f>
        <v>27.696428571428569</v>
      </c>
      <c r="D7" s="462">
        <f>landbouw!D8</f>
        <v>133.47420308622043</v>
      </c>
      <c r="E7" s="462">
        <f>landbouw!E8</f>
        <v>50.205662932420147</v>
      </c>
      <c r="F7" s="462">
        <f>landbouw!F8</f>
        <v>13746.38138469218</v>
      </c>
      <c r="G7" s="462">
        <f>landbouw!G8</f>
        <v>0</v>
      </c>
      <c r="H7" s="462">
        <f>landbouw!H8</f>
        <v>0</v>
      </c>
      <c r="I7" s="462">
        <f>landbouw!I8</f>
        <v>0</v>
      </c>
      <c r="J7" s="462">
        <f>landbouw!J8</f>
        <v>599.17373765765933</v>
      </c>
      <c r="K7" s="462">
        <f>landbouw!K8</f>
        <v>0</v>
      </c>
      <c r="L7" s="462">
        <f>landbouw!L8</f>
        <v>0</v>
      </c>
      <c r="M7" s="462">
        <f>landbouw!M8</f>
        <v>0</v>
      </c>
      <c r="N7" s="462">
        <f>landbouw!N8</f>
        <v>0</v>
      </c>
      <c r="O7" s="462">
        <f>landbouw!O8</f>
        <v>0</v>
      </c>
      <c r="P7" s="463">
        <f>landbouw!P8</f>
        <v>0</v>
      </c>
      <c r="Q7" s="461">
        <f t="shared" si="0"/>
        <v>18541.100486708503</v>
      </c>
    </row>
    <row r="8" spans="1:17">
      <c r="A8" s="461" t="s">
        <v>657</v>
      </c>
      <c r="B8" s="462">
        <f>industrie!B18</f>
        <v>12031.36554821428</v>
      </c>
      <c r="C8" s="462">
        <f>industrie!C18</f>
        <v>0</v>
      </c>
      <c r="D8" s="462">
        <f>industrie!D18</f>
        <v>3925.726720814469</v>
      </c>
      <c r="E8" s="462">
        <f>industrie!E18</f>
        <v>1222.0521349869225</v>
      </c>
      <c r="F8" s="462">
        <f>industrie!F18</f>
        <v>16197.131734559631</v>
      </c>
      <c r="G8" s="462">
        <f>industrie!G18</f>
        <v>0</v>
      </c>
      <c r="H8" s="462">
        <f>industrie!H18</f>
        <v>0</v>
      </c>
      <c r="I8" s="462">
        <f>industrie!I18</f>
        <v>0</v>
      </c>
      <c r="J8" s="462">
        <f>industrie!J18</f>
        <v>0.88499742149950333</v>
      </c>
      <c r="K8" s="462">
        <f>industrie!K18</f>
        <v>0</v>
      </c>
      <c r="L8" s="462">
        <f>industrie!L18</f>
        <v>0</v>
      </c>
      <c r="M8" s="462">
        <f>industrie!M18</f>
        <v>0</v>
      </c>
      <c r="N8" s="462">
        <f>industrie!N18</f>
        <v>3709.2765626310124</v>
      </c>
      <c r="O8" s="462">
        <f>industrie!O18</f>
        <v>0</v>
      </c>
      <c r="P8" s="463">
        <f>industrie!P18</f>
        <v>0</v>
      </c>
      <c r="Q8" s="461">
        <f t="shared" si="0"/>
        <v>37086.437698627815</v>
      </c>
    </row>
    <row r="9" spans="1:17" s="467" customFormat="1">
      <c r="A9" s="465" t="s">
        <v>574</v>
      </c>
      <c r="B9" s="466">
        <f>transport!B14</f>
        <v>6.4303229085263007</v>
      </c>
      <c r="C9" s="466">
        <f>transport!C14</f>
        <v>0</v>
      </c>
      <c r="D9" s="466">
        <f>transport!D14</f>
        <v>10.307636660175</v>
      </c>
      <c r="E9" s="466">
        <f>transport!E14</f>
        <v>316.94192325372597</v>
      </c>
      <c r="F9" s="466">
        <f>transport!F14</f>
        <v>0</v>
      </c>
      <c r="G9" s="466">
        <f>transport!G14</f>
        <v>75170.141169208713</v>
      </c>
      <c r="H9" s="466">
        <f>transport!H14</f>
        <v>15451.9474350051</v>
      </c>
      <c r="I9" s="466">
        <f>transport!I14</f>
        <v>0</v>
      </c>
      <c r="J9" s="466">
        <f>transport!J14</f>
        <v>0</v>
      </c>
      <c r="K9" s="466">
        <f>transport!K14</f>
        <v>0</v>
      </c>
      <c r="L9" s="466">
        <f>transport!L14</f>
        <v>0</v>
      </c>
      <c r="M9" s="466">
        <f>transport!M14</f>
        <v>4097.7115610528217</v>
      </c>
      <c r="N9" s="466">
        <f>transport!N14</f>
        <v>0</v>
      </c>
      <c r="O9" s="466">
        <f>transport!O14</f>
        <v>0</v>
      </c>
      <c r="P9" s="466">
        <f>transport!P14</f>
        <v>0</v>
      </c>
      <c r="Q9" s="465">
        <f>SUM(B9:P9)</f>
        <v>95053.48004808907</v>
      </c>
    </row>
    <row r="10" spans="1:17">
      <c r="A10" s="461" t="s">
        <v>564</v>
      </c>
      <c r="B10" s="462">
        <f>transport!B54</f>
        <v>0</v>
      </c>
      <c r="C10" s="462">
        <f>transport!C54</f>
        <v>0</v>
      </c>
      <c r="D10" s="462">
        <f>transport!D54</f>
        <v>0</v>
      </c>
      <c r="E10" s="462">
        <f>transport!E54</f>
        <v>0</v>
      </c>
      <c r="F10" s="462">
        <f>transport!F54</f>
        <v>0</v>
      </c>
      <c r="G10" s="462">
        <f>transport!G54</f>
        <v>1450.091354279693</v>
      </c>
      <c r="H10" s="462">
        <f>transport!H54</f>
        <v>0</v>
      </c>
      <c r="I10" s="462">
        <f>transport!I54</f>
        <v>0</v>
      </c>
      <c r="J10" s="462">
        <f>transport!J54</f>
        <v>0</v>
      </c>
      <c r="K10" s="462">
        <f>transport!K54</f>
        <v>0</v>
      </c>
      <c r="L10" s="462">
        <f>transport!L54</f>
        <v>0</v>
      </c>
      <c r="M10" s="462">
        <f>transport!M54</f>
        <v>64.489109327011548</v>
      </c>
      <c r="N10" s="462">
        <f>transport!N54</f>
        <v>0</v>
      </c>
      <c r="O10" s="462">
        <f>transport!O54</f>
        <v>0</v>
      </c>
      <c r="P10" s="463">
        <f>transport!P54</f>
        <v>0</v>
      </c>
      <c r="Q10" s="461">
        <f t="shared" si="0"/>
        <v>1514.5804636067046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2117.4790626630802</v>
      </c>
      <c r="C14" s="469"/>
      <c r="D14" s="469">
        <f>'SEAP template'!E25</f>
        <v>4504.6171078146199</v>
      </c>
      <c r="E14" s="469"/>
      <c r="F14" s="469"/>
      <c r="G14" s="469"/>
      <c r="H14" s="469"/>
      <c r="I14" s="469"/>
      <c r="J14" s="469"/>
      <c r="K14" s="469"/>
      <c r="L14" s="469"/>
      <c r="M14" s="469"/>
      <c r="N14" s="469"/>
      <c r="O14" s="469"/>
      <c r="P14" s="470"/>
      <c r="Q14" s="461">
        <f t="shared" si="0"/>
        <v>6622.0961704777001</v>
      </c>
    </row>
    <row r="15" spans="1:17" s="474" customFormat="1">
      <c r="A15" s="471" t="s">
        <v>568</v>
      </c>
      <c r="B15" s="472">
        <f ca="1">SUM(B4:B14)</f>
        <v>74287.819296047906</v>
      </c>
      <c r="C15" s="472">
        <f t="shared" ref="C15:Q15" ca="1" si="1">SUM(C4:C14)</f>
        <v>27.696428571428569</v>
      </c>
      <c r="D15" s="472">
        <f t="shared" ca="1" si="1"/>
        <v>101880.51464942125</v>
      </c>
      <c r="E15" s="472">
        <f t="shared" si="1"/>
        <v>5613.8333162003701</v>
      </c>
      <c r="F15" s="472">
        <f t="shared" ca="1" si="1"/>
        <v>84452.931160521766</v>
      </c>
      <c r="G15" s="472">
        <f t="shared" si="1"/>
        <v>76620.232523488405</v>
      </c>
      <c r="H15" s="472">
        <f t="shared" si="1"/>
        <v>15451.9474350051</v>
      </c>
      <c r="I15" s="472">
        <f t="shared" si="1"/>
        <v>0</v>
      </c>
      <c r="J15" s="472">
        <f t="shared" si="1"/>
        <v>600.05873507915885</v>
      </c>
      <c r="K15" s="472">
        <f t="shared" si="1"/>
        <v>0</v>
      </c>
      <c r="L15" s="472">
        <f t="shared" ca="1" si="1"/>
        <v>0</v>
      </c>
      <c r="M15" s="472">
        <f t="shared" si="1"/>
        <v>4162.2006703798334</v>
      </c>
      <c r="N15" s="472">
        <f t="shared" ca="1" si="1"/>
        <v>45094.215765584042</v>
      </c>
      <c r="O15" s="472">
        <f t="shared" si="1"/>
        <v>328.3</v>
      </c>
      <c r="P15" s="472">
        <f t="shared" si="1"/>
        <v>934.26666666666677</v>
      </c>
      <c r="Q15" s="472">
        <f t="shared" ca="1" si="1"/>
        <v>409454.01664696587</v>
      </c>
    </row>
    <row r="17" spans="1:17">
      <c r="A17" s="475" t="s">
        <v>569</v>
      </c>
      <c r="B17" s="781">
        <f ca="1">huishoudens!B10</f>
        <v>0.19465993126265993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6371.532546663323</v>
      </c>
      <c r="C22" s="462">
        <f t="shared" ref="C22:C32" ca="1" si="3">C4*$C$17</f>
        <v>0</v>
      </c>
      <c r="D22" s="462">
        <f t="shared" ref="D22:D32" si="4">D4*$D$17</f>
        <v>14138.882980364124</v>
      </c>
      <c r="E22" s="462">
        <f t="shared" ref="E22:E32" si="5">E4*$E$17</f>
        <v>817.98321515782732</v>
      </c>
      <c r="F22" s="462">
        <f t="shared" ref="F22:F32" si="6">F4*$F$17</f>
        <v>13279.040539759913</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34607.43928194519</v>
      </c>
    </row>
    <row r="23" spans="1:17">
      <c r="A23" s="461" t="s">
        <v>156</v>
      </c>
      <c r="B23" s="462">
        <f t="shared" ca="1" si="2"/>
        <v>4405.9434695050904</v>
      </c>
      <c r="C23" s="462">
        <f t="shared" ca="1" si="3"/>
        <v>0</v>
      </c>
      <c r="D23" s="462">
        <f t="shared" ca="1" si="4"/>
        <v>4709.0075938071241</v>
      </c>
      <c r="E23" s="462">
        <f t="shared" si="5"/>
        <v>95.6086109133701</v>
      </c>
      <c r="F23" s="462">
        <f t="shared" ca="1" si="6"/>
        <v>1274.9740772591638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10485.533751484749</v>
      </c>
    </row>
    <row r="24" spans="1:17">
      <c r="A24" s="461" t="s">
        <v>194</v>
      </c>
      <c r="B24" s="462">
        <f t="shared" ca="1" si="2"/>
        <v>152.36285877839035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152.36285877839035</v>
      </c>
    </row>
    <row r="25" spans="1:17">
      <c r="A25" s="461" t="s">
        <v>112</v>
      </c>
      <c r="B25" s="462">
        <f t="shared" ca="1" si="2"/>
        <v>775.55807725996976</v>
      </c>
      <c r="C25" s="462">
        <f t="shared" ca="1" si="3"/>
        <v>0</v>
      </c>
      <c r="D25" s="462">
        <f t="shared" si="4"/>
        <v>26.961789023416529</v>
      </c>
      <c r="E25" s="462">
        <f t="shared" si="5"/>
        <v>11.396685485659374</v>
      </c>
      <c r="F25" s="462">
        <f t="shared" si="6"/>
        <v>3670.2838297128123</v>
      </c>
      <c r="G25" s="462">
        <f t="shared" si="7"/>
        <v>0</v>
      </c>
      <c r="H25" s="462">
        <f t="shared" si="8"/>
        <v>0</v>
      </c>
      <c r="I25" s="462">
        <f t="shared" si="9"/>
        <v>0</v>
      </c>
      <c r="J25" s="462">
        <f t="shared" si="10"/>
        <v>212.10750313081138</v>
      </c>
      <c r="K25" s="462">
        <f t="shared" si="11"/>
        <v>0</v>
      </c>
      <c r="L25" s="462">
        <f t="shared" si="12"/>
        <v>0</v>
      </c>
      <c r="M25" s="462">
        <f t="shared" si="13"/>
        <v>0</v>
      </c>
      <c r="N25" s="462">
        <f t="shared" si="14"/>
        <v>0</v>
      </c>
      <c r="O25" s="462">
        <f t="shared" si="15"/>
        <v>0</v>
      </c>
      <c r="P25" s="463">
        <f t="shared" si="16"/>
        <v>0</v>
      </c>
      <c r="Q25" s="461">
        <f t="shared" ca="1" si="17"/>
        <v>4696.3078846126691</v>
      </c>
    </row>
    <row r="26" spans="1:17">
      <c r="A26" s="461" t="s">
        <v>657</v>
      </c>
      <c r="B26" s="462">
        <f t="shared" ca="1" si="2"/>
        <v>2342.0247906113268</v>
      </c>
      <c r="C26" s="462">
        <f t="shared" ca="1" si="3"/>
        <v>0</v>
      </c>
      <c r="D26" s="462">
        <f t="shared" si="4"/>
        <v>792.99679760452284</v>
      </c>
      <c r="E26" s="462">
        <f t="shared" si="5"/>
        <v>277.40583464203144</v>
      </c>
      <c r="F26" s="462">
        <f t="shared" si="6"/>
        <v>4324.6341731274215</v>
      </c>
      <c r="G26" s="462">
        <f t="shared" si="7"/>
        <v>0</v>
      </c>
      <c r="H26" s="462">
        <f t="shared" si="8"/>
        <v>0</v>
      </c>
      <c r="I26" s="462">
        <f t="shared" si="9"/>
        <v>0</v>
      </c>
      <c r="J26" s="462">
        <f t="shared" si="10"/>
        <v>0.31328908721082416</v>
      </c>
      <c r="K26" s="462">
        <f t="shared" si="11"/>
        <v>0</v>
      </c>
      <c r="L26" s="462">
        <f t="shared" si="12"/>
        <v>0</v>
      </c>
      <c r="M26" s="462">
        <f t="shared" si="13"/>
        <v>0</v>
      </c>
      <c r="N26" s="462">
        <f t="shared" si="14"/>
        <v>0</v>
      </c>
      <c r="O26" s="462">
        <f t="shared" si="15"/>
        <v>0</v>
      </c>
      <c r="P26" s="463">
        <f t="shared" si="16"/>
        <v>0</v>
      </c>
      <c r="Q26" s="461">
        <f t="shared" ca="1" si="17"/>
        <v>7737.3748850725133</v>
      </c>
    </row>
    <row r="27" spans="1:17" s="467" customFormat="1">
      <c r="A27" s="465" t="s">
        <v>574</v>
      </c>
      <c r="B27" s="775">
        <f t="shared" ca="1" si="2"/>
        <v>1.2517262153704372</v>
      </c>
      <c r="C27" s="466">
        <f t="shared" ca="1" si="3"/>
        <v>0</v>
      </c>
      <c r="D27" s="466">
        <f t="shared" si="4"/>
        <v>2.08214260535535</v>
      </c>
      <c r="E27" s="466">
        <f t="shared" si="5"/>
        <v>71.945816578595796</v>
      </c>
      <c r="F27" s="466">
        <f t="shared" si="6"/>
        <v>0</v>
      </c>
      <c r="G27" s="466">
        <f t="shared" si="7"/>
        <v>20070.427692178728</v>
      </c>
      <c r="H27" s="466">
        <f t="shared" si="8"/>
        <v>3847.5349113162702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23993.242288894318</v>
      </c>
    </row>
    <row r="28" spans="1:17">
      <c r="A28" s="461" t="s">
        <v>564</v>
      </c>
      <c r="B28" s="462">
        <f t="shared" ca="1" si="2"/>
        <v>0</v>
      </c>
      <c r="C28" s="462">
        <f t="shared" ca="1" si="3"/>
        <v>0</v>
      </c>
      <c r="D28" s="462">
        <f t="shared" si="4"/>
        <v>0</v>
      </c>
      <c r="E28" s="462">
        <f t="shared" si="5"/>
        <v>0</v>
      </c>
      <c r="F28" s="462">
        <f t="shared" si="6"/>
        <v>0</v>
      </c>
      <c r="G28" s="462">
        <f t="shared" si="7"/>
        <v>387.17439159267803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387.17439159267803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412.18832878811679</v>
      </c>
      <c r="C32" s="462">
        <f t="shared" ca="1" si="3"/>
        <v>0</v>
      </c>
      <c r="D32" s="462">
        <f t="shared" si="4"/>
        <v>909.93265577855323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1322.1209845666699</v>
      </c>
    </row>
    <row r="33" spans="1:17" s="474" customFormat="1">
      <c r="A33" s="471" t="s">
        <v>568</v>
      </c>
      <c r="B33" s="472">
        <f ca="1">SUM(B22:B32)</f>
        <v>14460.861797821588</v>
      </c>
      <c r="C33" s="472">
        <f t="shared" ref="C33:Q33" ca="1" si="18">SUM(C22:C32)</f>
        <v>0</v>
      </c>
      <c r="D33" s="472">
        <f t="shared" ca="1" si="18"/>
        <v>20579.863959183094</v>
      </c>
      <c r="E33" s="472">
        <f t="shared" si="18"/>
        <v>1274.3401627774842</v>
      </c>
      <c r="F33" s="472">
        <f t="shared" ca="1" si="18"/>
        <v>22548.932619859312</v>
      </c>
      <c r="G33" s="472">
        <f t="shared" si="18"/>
        <v>20457.602083771406</v>
      </c>
      <c r="H33" s="472">
        <f t="shared" si="18"/>
        <v>3847.5349113162702</v>
      </c>
      <c r="I33" s="472">
        <f t="shared" si="18"/>
        <v>0</v>
      </c>
      <c r="J33" s="472">
        <f t="shared" si="18"/>
        <v>212.4207922180222</v>
      </c>
      <c r="K33" s="472">
        <f t="shared" si="18"/>
        <v>0</v>
      </c>
      <c r="L33" s="472">
        <f t="shared" ca="1" si="18"/>
        <v>0</v>
      </c>
      <c r="M33" s="472">
        <f t="shared" si="18"/>
        <v>0</v>
      </c>
      <c r="N33" s="472">
        <f t="shared" ca="1" si="18"/>
        <v>0</v>
      </c>
      <c r="O33" s="472">
        <f t="shared" si="18"/>
        <v>0</v>
      </c>
      <c r="P33" s="472">
        <f t="shared" si="18"/>
        <v>0</v>
      </c>
      <c r="Q33" s="472">
        <f t="shared" ca="1" si="18"/>
        <v>83381.55632694719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1214.5020050000001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6290.4159999999993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8.1374999999999993</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9.1727836746897875</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1341</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3831.4285714285716</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8854.0555050000003</v>
      </c>
      <c r="C10" s="1051">
        <f>SUM(C4:C9)</f>
        <v>0</v>
      </c>
      <c r="D10" s="1051">
        <f t="shared" ref="D10:H10" si="0">SUM(D8:D9)</f>
        <v>0</v>
      </c>
      <c r="E10" s="1051">
        <f t="shared" si="0"/>
        <v>0</v>
      </c>
      <c r="F10" s="1051">
        <f t="shared" si="0"/>
        <v>0</v>
      </c>
      <c r="G10" s="1051">
        <f t="shared" si="0"/>
        <v>0</v>
      </c>
      <c r="H10" s="1051">
        <f t="shared" si="0"/>
        <v>0</v>
      </c>
      <c r="I10" s="1051">
        <f>SUM(I8:I9)</f>
        <v>0</v>
      </c>
      <c r="J10" s="1051">
        <f>SUM(J8:J9)</f>
        <v>3840.6013551032615</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0.19465993126265993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27.696428571428569</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31.22007346816735</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27.696428571428569</v>
      </c>
      <c r="C20" s="1051">
        <f>SUM(C17:C19)</f>
        <v>0</v>
      </c>
      <c r="D20" s="1051">
        <f t="shared" ref="D20:H20" si="2">SUM(D17:D19)</f>
        <v>0</v>
      </c>
      <c r="E20" s="1051">
        <f t="shared" si="2"/>
        <v>0</v>
      </c>
      <c r="F20" s="1051">
        <f t="shared" si="2"/>
        <v>0</v>
      </c>
      <c r="G20" s="1051">
        <f t="shared" si="2"/>
        <v>0</v>
      </c>
      <c r="H20" s="1051">
        <f t="shared" si="2"/>
        <v>0</v>
      </c>
      <c r="I20" s="1051">
        <f>SUM(I17:I19)</f>
        <v>0</v>
      </c>
      <c r="J20" s="1051">
        <f>SUM(J17:J19)</f>
        <v>31.22007346816735</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0.19465993126265993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0.19465993126265993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0.19465993126265993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7212</v>
      </c>
      <c r="C9" s="338">
        <v>7667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3029</v>
      </c>
    </row>
    <row r="15" spans="1:6">
      <c r="A15" s="1295" t="s">
        <v>184</v>
      </c>
      <c r="B15" s="335">
        <v>13734</v>
      </c>
    </row>
    <row r="16" spans="1:6">
      <c r="A16" s="1295" t="s">
        <v>6</v>
      </c>
      <c r="B16" s="335">
        <v>2492</v>
      </c>
    </row>
    <row r="17" spans="1:6">
      <c r="A17" s="1295" t="s">
        <v>7</v>
      </c>
      <c r="B17" s="335">
        <v>221</v>
      </c>
    </row>
    <row r="18" spans="1:6">
      <c r="A18" s="1295" t="s">
        <v>8</v>
      </c>
      <c r="B18" s="335">
        <v>1426</v>
      </c>
    </row>
    <row r="19" spans="1:6">
      <c r="A19" s="1295" t="s">
        <v>9</v>
      </c>
      <c r="B19" s="335">
        <v>1322</v>
      </c>
    </row>
    <row r="20" spans="1:6">
      <c r="A20" s="1295" t="s">
        <v>10</v>
      </c>
      <c r="B20" s="335">
        <v>585</v>
      </c>
    </row>
    <row r="21" spans="1:6">
      <c r="A21" s="1295" t="s">
        <v>11</v>
      </c>
      <c r="B21" s="335">
        <v>11337</v>
      </c>
    </row>
    <row r="22" spans="1:6">
      <c r="A22" s="1295" t="s">
        <v>12</v>
      </c>
      <c r="B22" s="335">
        <v>24356</v>
      </c>
    </row>
    <row r="23" spans="1:6">
      <c r="A23" s="1295" t="s">
        <v>13</v>
      </c>
      <c r="B23" s="335">
        <v>639</v>
      </c>
    </row>
    <row r="24" spans="1:6">
      <c r="A24" s="1295" t="s">
        <v>14</v>
      </c>
      <c r="B24" s="335">
        <v>21</v>
      </c>
    </row>
    <row r="25" spans="1:6">
      <c r="A25" s="1295" t="s">
        <v>15</v>
      </c>
      <c r="B25" s="335">
        <v>2660</v>
      </c>
    </row>
    <row r="26" spans="1:6">
      <c r="A26" s="1295" t="s">
        <v>16</v>
      </c>
      <c r="B26" s="335">
        <v>139</v>
      </c>
    </row>
    <row r="27" spans="1:6">
      <c r="A27" s="1295" t="s">
        <v>17</v>
      </c>
      <c r="B27" s="335">
        <v>660</v>
      </c>
    </row>
    <row r="28" spans="1:6" s="341" customFormat="1">
      <c r="A28" s="1296" t="s">
        <v>18</v>
      </c>
      <c r="B28" s="1296">
        <v>531088</v>
      </c>
    </row>
    <row r="29" spans="1:6">
      <c r="A29" s="1296" t="s">
        <v>909</v>
      </c>
      <c r="B29" s="1296">
        <v>278</v>
      </c>
      <c r="C29" s="341"/>
      <c r="D29" s="341"/>
      <c r="E29" s="341"/>
      <c r="F29" s="341"/>
    </row>
    <row r="30" spans="1:6">
      <c r="A30" s="1291" t="s">
        <v>910</v>
      </c>
      <c r="B30" s="1291">
        <v>46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10720.472421872</v>
      </c>
    </row>
    <row r="36" spans="1:6">
      <c r="A36" s="1295" t="s">
        <v>25</v>
      </c>
      <c r="B36" s="1295" t="s">
        <v>27</v>
      </c>
      <c r="C36" s="335">
        <v>0</v>
      </c>
      <c r="D36" s="335">
        <v>0</v>
      </c>
      <c r="E36" s="335">
        <v>3</v>
      </c>
      <c r="F36" s="335">
        <v>23002.511181459999</v>
      </c>
    </row>
    <row r="37" spans="1:6">
      <c r="A37" s="1295" t="s">
        <v>25</v>
      </c>
      <c r="B37" s="1295" t="s">
        <v>28</v>
      </c>
      <c r="C37" s="335">
        <v>0</v>
      </c>
      <c r="D37" s="335">
        <v>0</v>
      </c>
      <c r="E37" s="335">
        <v>0</v>
      </c>
      <c r="F37" s="335">
        <v>0</v>
      </c>
    </row>
    <row r="38" spans="1:6">
      <c r="A38" s="1295" t="s">
        <v>25</v>
      </c>
      <c r="B38" s="1295" t="s">
        <v>29</v>
      </c>
      <c r="C38" s="335">
        <v>1</v>
      </c>
      <c r="D38" s="335">
        <v>75185.356554491998</v>
      </c>
      <c r="E38" s="335">
        <v>2</v>
      </c>
      <c r="F38" s="335">
        <v>136993.55124818001</v>
      </c>
    </row>
    <row r="39" spans="1:6">
      <c r="A39" s="1295" t="s">
        <v>30</v>
      </c>
      <c r="B39" s="1295" t="s">
        <v>31</v>
      </c>
      <c r="C39" s="335">
        <v>3822</v>
      </c>
      <c r="D39" s="335">
        <v>77599190.908894002</v>
      </c>
      <c r="E39" s="335">
        <v>7036</v>
      </c>
      <c r="F39" s="335">
        <v>27830224.914039802</v>
      </c>
    </row>
    <row r="40" spans="1:6">
      <c r="A40" s="1295" t="s">
        <v>30</v>
      </c>
      <c r="B40" s="1295" t="s">
        <v>29</v>
      </c>
      <c r="C40" s="335">
        <v>0</v>
      </c>
      <c r="D40" s="335">
        <v>0</v>
      </c>
      <c r="E40" s="335">
        <v>0</v>
      </c>
      <c r="F40" s="335">
        <v>0</v>
      </c>
    </row>
    <row r="41" spans="1:6">
      <c r="A41" s="1295" t="s">
        <v>32</v>
      </c>
      <c r="B41" s="1295" t="s">
        <v>33</v>
      </c>
      <c r="C41" s="335">
        <v>58</v>
      </c>
      <c r="D41" s="335">
        <v>1654956.58923038</v>
      </c>
      <c r="E41" s="335">
        <v>143</v>
      </c>
      <c r="F41" s="335">
        <v>1373165.58094832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7</v>
      </c>
      <c r="F44" s="335">
        <v>83669.528309910995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98072.465415793195</v>
      </c>
    </row>
    <row r="48" spans="1:6">
      <c r="A48" s="1295" t="s">
        <v>32</v>
      </c>
      <c r="B48" s="1295" t="s">
        <v>29</v>
      </c>
      <c r="C48" s="335">
        <v>16</v>
      </c>
      <c r="D48" s="335">
        <v>980874.19913035701</v>
      </c>
      <c r="E48" s="335">
        <v>18</v>
      </c>
      <c r="F48" s="335">
        <v>292727.51478395698</v>
      </c>
    </row>
    <row r="49" spans="1:6">
      <c r="A49" s="1295" t="s">
        <v>32</v>
      </c>
      <c r="B49" s="1295" t="s">
        <v>40</v>
      </c>
      <c r="C49" s="335">
        <v>0</v>
      </c>
      <c r="D49" s="335">
        <v>0</v>
      </c>
      <c r="E49" s="335">
        <v>0</v>
      </c>
      <c r="F49" s="335">
        <v>0</v>
      </c>
    </row>
    <row r="50" spans="1:6">
      <c r="A50" s="1295" t="s">
        <v>32</v>
      </c>
      <c r="B50" s="1295" t="s">
        <v>41</v>
      </c>
      <c r="C50" s="335">
        <v>7</v>
      </c>
      <c r="D50" s="335">
        <v>1716416.1305023101</v>
      </c>
      <c r="E50" s="335">
        <v>15</v>
      </c>
      <c r="F50" s="335">
        <v>10183730.4587563</v>
      </c>
    </row>
    <row r="51" spans="1:6">
      <c r="A51" s="1295" t="s">
        <v>42</v>
      </c>
      <c r="B51" s="1295" t="s">
        <v>43</v>
      </c>
      <c r="C51" s="335">
        <v>0</v>
      </c>
      <c r="D51" s="335">
        <v>0</v>
      </c>
      <c r="E51" s="335">
        <v>140</v>
      </c>
      <c r="F51" s="335">
        <v>3800976.5830275798</v>
      </c>
    </row>
    <row r="52" spans="1:6">
      <c r="A52" s="1295" t="s">
        <v>42</v>
      </c>
      <c r="B52" s="1295" t="s">
        <v>29</v>
      </c>
      <c r="C52" s="335">
        <v>6</v>
      </c>
      <c r="D52" s="335">
        <v>147975.834907118</v>
      </c>
      <c r="E52" s="335">
        <v>10</v>
      </c>
      <c r="F52" s="335">
        <v>183192.48674101199</v>
      </c>
    </row>
    <row r="53" spans="1:6">
      <c r="A53" s="1295" t="s">
        <v>44</v>
      </c>
      <c r="B53" s="1295" t="s">
        <v>45</v>
      </c>
      <c r="C53" s="335">
        <v>118</v>
      </c>
      <c r="D53" s="335">
        <v>4504617.1078146202</v>
      </c>
      <c r="E53" s="335">
        <v>270</v>
      </c>
      <c r="F53" s="335">
        <v>2117479.0626630802</v>
      </c>
    </row>
    <row r="54" spans="1:6">
      <c r="A54" s="1295" t="s">
        <v>46</v>
      </c>
      <c r="B54" s="1295" t="s">
        <v>47</v>
      </c>
      <c r="C54" s="335">
        <v>0</v>
      </c>
      <c r="D54" s="335">
        <v>0</v>
      </c>
      <c r="E54" s="335">
        <v>1</v>
      </c>
      <c r="F54" s="335">
        <v>782713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526057.29684143304</v>
      </c>
      <c r="E57" s="335">
        <v>159</v>
      </c>
      <c r="F57" s="335">
        <v>3506334.9699344402</v>
      </c>
    </row>
    <row r="58" spans="1:6">
      <c r="A58" s="1295" t="s">
        <v>49</v>
      </c>
      <c r="B58" s="1295" t="s">
        <v>51</v>
      </c>
      <c r="C58" s="335">
        <v>23</v>
      </c>
      <c r="D58" s="335">
        <v>1087126.40550507</v>
      </c>
      <c r="E58" s="335">
        <v>40</v>
      </c>
      <c r="F58" s="335">
        <v>424500.37434644398</v>
      </c>
    </row>
    <row r="59" spans="1:6">
      <c r="A59" s="1295" t="s">
        <v>49</v>
      </c>
      <c r="B59" s="1295" t="s">
        <v>52</v>
      </c>
      <c r="C59" s="335">
        <v>50</v>
      </c>
      <c r="D59" s="335">
        <v>1955913.0519501099</v>
      </c>
      <c r="E59" s="335">
        <v>133</v>
      </c>
      <c r="F59" s="335">
        <v>4473658.6363785099</v>
      </c>
    </row>
    <row r="60" spans="1:6">
      <c r="A60" s="1295" t="s">
        <v>49</v>
      </c>
      <c r="B60" s="1295" t="s">
        <v>53</v>
      </c>
      <c r="C60" s="335">
        <v>66</v>
      </c>
      <c r="D60" s="335">
        <v>6671847.3004566804</v>
      </c>
      <c r="E60" s="335">
        <v>109</v>
      </c>
      <c r="F60" s="335">
        <v>4776967.6952381199</v>
      </c>
    </row>
    <row r="61" spans="1:6">
      <c r="A61" s="1295" t="s">
        <v>49</v>
      </c>
      <c r="B61" s="1295" t="s">
        <v>54</v>
      </c>
      <c r="C61" s="335">
        <v>157</v>
      </c>
      <c r="D61" s="335">
        <v>6663284.3431104301</v>
      </c>
      <c r="E61" s="335">
        <v>235</v>
      </c>
      <c r="F61" s="335">
        <v>3020416.7072181399</v>
      </c>
    </row>
    <row r="62" spans="1:6">
      <c r="A62" s="1295" t="s">
        <v>49</v>
      </c>
      <c r="B62" s="1295" t="s">
        <v>55</v>
      </c>
      <c r="C62" s="335">
        <v>6</v>
      </c>
      <c r="D62" s="335">
        <v>527702.72809768596</v>
      </c>
      <c r="E62" s="335">
        <v>12</v>
      </c>
      <c r="F62" s="335">
        <v>218903.40095694401</v>
      </c>
    </row>
    <row r="63" spans="1:6">
      <c r="A63" s="1295" t="s">
        <v>49</v>
      </c>
      <c r="B63" s="1295" t="s">
        <v>29</v>
      </c>
      <c r="C63" s="335">
        <v>79</v>
      </c>
      <c r="D63" s="335">
        <v>8412768.1880334709</v>
      </c>
      <c r="E63" s="335">
        <v>101</v>
      </c>
      <c r="F63" s="335">
        <v>4872272.5943810297</v>
      </c>
    </row>
    <row r="64" spans="1:6">
      <c r="A64" s="1295" t="s">
        <v>56</v>
      </c>
      <c r="B64" s="1295" t="s">
        <v>57</v>
      </c>
      <c r="C64" s="335">
        <v>0</v>
      </c>
      <c r="D64" s="335">
        <v>0</v>
      </c>
      <c r="E64" s="335">
        <v>0</v>
      </c>
      <c r="F64" s="335">
        <v>0</v>
      </c>
    </row>
    <row r="65" spans="1:6">
      <c r="A65" s="1295" t="s">
        <v>56</v>
      </c>
      <c r="B65" s="1295" t="s">
        <v>29</v>
      </c>
      <c r="C65" s="335">
        <v>2</v>
      </c>
      <c r="D65" s="335">
        <v>12872.3530053785</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35177.957475352399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97889561</v>
      </c>
      <c r="E73" s="335">
        <v>101761849.88358587</v>
      </c>
    </row>
    <row r="74" spans="1:6">
      <c r="A74" s="1295" t="s">
        <v>64</v>
      </c>
      <c r="B74" s="1295" t="s">
        <v>727</v>
      </c>
      <c r="C74" s="1295" t="s">
        <v>728</v>
      </c>
      <c r="D74" s="335">
        <v>6162813.9513532957</v>
      </c>
      <c r="E74" s="335">
        <v>6552691.0451444415</v>
      </c>
    </row>
    <row r="75" spans="1:6">
      <c r="A75" s="1295" t="s">
        <v>65</v>
      </c>
      <c r="B75" s="1295" t="s">
        <v>725</v>
      </c>
      <c r="C75" s="1295" t="s">
        <v>729</v>
      </c>
      <c r="D75" s="335">
        <v>19873410</v>
      </c>
      <c r="E75" s="335">
        <v>20716859.732806277</v>
      </c>
    </row>
    <row r="76" spans="1:6">
      <c r="A76" s="1295" t="s">
        <v>65</v>
      </c>
      <c r="B76" s="1295" t="s">
        <v>727</v>
      </c>
      <c r="C76" s="1295" t="s">
        <v>730</v>
      </c>
      <c r="D76" s="335">
        <v>853954.95135329582</v>
      </c>
      <c r="E76" s="335">
        <v>930877.7557174</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400134.09729340841</v>
      </c>
      <c r="C83" s="335">
        <v>395306.43813928444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1214.5020050000001</v>
      </c>
    </row>
    <row r="91" spans="1:6">
      <c r="A91" s="1295" t="s">
        <v>68</v>
      </c>
      <c r="B91" s="335">
        <v>4901.3829999999998</v>
      </c>
    </row>
    <row r="92" spans="1:6">
      <c r="A92" s="1291" t="s">
        <v>69</v>
      </c>
      <c r="B92" s="338">
        <v>1389.0329999999999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2144</v>
      </c>
    </row>
    <row r="98" spans="1:6">
      <c r="A98" s="1295" t="s">
        <v>72</v>
      </c>
      <c r="B98" s="335">
        <v>12</v>
      </c>
    </row>
    <row r="99" spans="1:6">
      <c r="A99" s="1295" t="s">
        <v>73</v>
      </c>
      <c r="B99" s="335">
        <v>63</v>
      </c>
    </row>
    <row r="100" spans="1:6">
      <c r="A100" s="1295" t="s">
        <v>74</v>
      </c>
      <c r="B100" s="335">
        <v>245</v>
      </c>
    </row>
    <row r="101" spans="1:6">
      <c r="A101" s="1295" t="s">
        <v>75</v>
      </c>
      <c r="B101" s="335">
        <v>193</v>
      </c>
    </row>
    <row r="102" spans="1:6">
      <c r="A102" s="1295" t="s">
        <v>76</v>
      </c>
      <c r="B102" s="335">
        <v>70</v>
      </c>
    </row>
    <row r="103" spans="1:6">
      <c r="A103" s="1295" t="s">
        <v>77</v>
      </c>
      <c r="B103" s="335">
        <v>116</v>
      </c>
    </row>
    <row r="104" spans="1:6">
      <c r="A104" s="1295" t="s">
        <v>78</v>
      </c>
      <c r="B104" s="335">
        <v>3477</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28</v>
      </c>
      <c r="C123" s="335">
        <v>12</v>
      </c>
    </row>
    <row r="124" spans="1:6">
      <c r="A124" s="1291" t="s">
        <v>89</v>
      </c>
      <c r="B124" s="335">
        <v>2</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193</v>
      </c>
    </row>
    <row r="130" spans="1:6">
      <c r="A130" s="1295" t="s">
        <v>295</v>
      </c>
      <c r="B130" s="335">
        <v>5</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74287.819296047892</v>
      </c>
      <c r="C3" s="43" t="s">
        <v>170</v>
      </c>
      <c r="D3" s="43"/>
      <c r="E3" s="156"/>
      <c r="F3" s="43"/>
      <c r="G3" s="43"/>
      <c r="H3" s="43"/>
      <c r="I3" s="43"/>
      <c r="J3" s="43"/>
      <c r="K3" s="96"/>
    </row>
    <row r="4" spans="1:11">
      <c r="A4" s="366" t="s">
        <v>171</v>
      </c>
      <c r="B4" s="49">
        <f>IF(ISERROR('SEAP template'!B78+'SEAP template'!C78),0,'SEAP template'!B78+'SEAP template'!C78)</f>
        <v>8854.0555050000003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0.19465993126265993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27.696428571428569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782.71299999999997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782.71299999999997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0.19465993126265993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152.36285877839035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27830.224914039802</v>
      </c>
      <c r="C5" s="17">
        <f>IF(ISERROR('Eigen informatie GS &amp; warmtenet'!B57),0,'Eigen informatie GS &amp; warmtenet'!B57)</f>
        <v>0</v>
      </c>
      <c r="D5" s="30">
        <f>(SUM(HH_hh_gas_kWh,HH_rest_gas_kWh)/1000)*0.902</f>
        <v>69994.47019982239</v>
      </c>
      <c r="E5" s="17">
        <f>B46*B57</f>
        <v>3603.4502870388869</v>
      </c>
      <c r="F5" s="17">
        <f>B51*B62</f>
        <v>49734.234231310533</v>
      </c>
      <c r="G5" s="18"/>
      <c r="H5" s="17"/>
      <c r="I5" s="17"/>
      <c r="J5" s="17">
        <f>B50*B61+C50*C61</f>
        <v>0</v>
      </c>
      <c r="K5" s="17"/>
      <c r="L5" s="17"/>
      <c r="M5" s="17"/>
      <c r="N5" s="17">
        <f>B48*B59+C48*C59</f>
        <v>41384.939202953028</v>
      </c>
      <c r="O5" s="17">
        <f>B69*B70*B71</f>
        <v>320.48333333333335</v>
      </c>
      <c r="P5" s="17">
        <f>B77*B78*B79/1000-B77*B78*B79/1000/B80</f>
        <v>915.2</v>
      </c>
    </row>
    <row r="6" spans="1:16">
      <c r="A6" s="16" t="s">
        <v>634</v>
      </c>
      <c r="B6" s="783">
        <f>kWh_PV_kleiner_dan_10kW</f>
        <v>4901.3829999999998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32731.6079140398</v>
      </c>
      <c r="C8" s="21">
        <f>C5</f>
        <v>0</v>
      </c>
      <c r="D8" s="21">
        <f>D5</f>
        <v>69994.47019982239</v>
      </c>
      <c r="E8" s="21">
        <f>E5</f>
        <v>3603.4502870388869</v>
      </c>
      <c r="F8" s="21">
        <f>F5</f>
        <v>49734.234231310533</v>
      </c>
      <c r="G8" s="21"/>
      <c r="H8" s="21"/>
      <c r="I8" s="21"/>
      <c r="J8" s="21">
        <f>J5</f>
        <v>0</v>
      </c>
      <c r="K8" s="21"/>
      <c r="L8" s="21">
        <f>L5</f>
        <v>0</v>
      </c>
      <c r="M8" s="21">
        <f>M5</f>
        <v>0</v>
      </c>
      <c r="N8" s="21">
        <f>N5</f>
        <v>41384.939202953028</v>
      </c>
      <c r="O8" s="21">
        <f>O5</f>
        <v>320.48333333333335</v>
      </c>
      <c r="P8" s="21">
        <f>P5</f>
        <v>915.2</v>
      </c>
    </row>
    <row r="9" spans="1:16">
      <c r="B9" s="19"/>
      <c r="C9" s="19"/>
      <c r="D9" s="261"/>
      <c r="E9" s="19"/>
      <c r="F9" s="19"/>
      <c r="G9" s="19"/>
      <c r="H9" s="19"/>
      <c r="I9" s="19"/>
      <c r="J9" s="19"/>
      <c r="K9" s="19"/>
      <c r="L9" s="19"/>
      <c r="M9" s="19"/>
      <c r="N9" s="19"/>
      <c r="O9" s="19"/>
      <c r="P9" s="19"/>
    </row>
    <row r="10" spans="1:16">
      <c r="A10" s="24" t="s">
        <v>214</v>
      </c>
      <c r="B10" s="25">
        <f ca="1">'EF ele_warmte'!B12</f>
        <v>0.19465993126265993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6371.532546663323</v>
      </c>
      <c r="C12" s="23">
        <f ca="1">C10*C8</f>
        <v>0</v>
      </c>
      <c r="D12" s="23">
        <f>D8*D10</f>
        <v>14138.882980364124</v>
      </c>
      <c r="E12" s="23">
        <f>E10*E8</f>
        <v>817.98321515782732</v>
      </c>
      <c r="F12" s="23">
        <f>F10*F8</f>
        <v>13279.040539759913</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2144</v>
      </c>
      <c r="C18" s="168" t="s">
        <v>111</v>
      </c>
      <c r="D18" s="230"/>
      <c r="E18" s="15"/>
    </row>
    <row r="19" spans="1:7">
      <c r="A19" s="173" t="s">
        <v>72</v>
      </c>
      <c r="B19" s="37">
        <f>aantalw2001_ander</f>
        <v>12</v>
      </c>
      <c r="C19" s="168" t="s">
        <v>111</v>
      </c>
      <c r="D19" s="231"/>
      <c r="E19" s="15"/>
    </row>
    <row r="20" spans="1:7">
      <c r="A20" s="173" t="s">
        <v>73</v>
      </c>
      <c r="B20" s="37">
        <f>aantalw2001_propaan</f>
        <v>63</v>
      </c>
      <c r="C20" s="169">
        <f>IF(ISERROR(B20/SUM($B$20,$B$21,$B$22)*100),0,B20/SUM($B$20,$B$21,$B$22)*100)</f>
        <v>12.574850299401197</v>
      </c>
      <c r="D20" s="231"/>
      <c r="E20" s="15"/>
    </row>
    <row r="21" spans="1:7">
      <c r="A21" s="173" t="s">
        <v>74</v>
      </c>
      <c r="B21" s="37">
        <f>aantalw2001_elektriciteit</f>
        <v>245</v>
      </c>
      <c r="C21" s="169">
        <f>IF(ISERROR(B21/SUM($B$20,$B$21,$B$22)*100),0,B21/SUM($B$20,$B$21,$B$22)*100)</f>
        <v>48.902195608782435</v>
      </c>
      <c r="D21" s="231"/>
      <c r="E21" s="15"/>
    </row>
    <row r="22" spans="1:7">
      <c r="A22" s="173" t="s">
        <v>75</v>
      </c>
      <c r="B22" s="37">
        <f>aantalw2001_hout</f>
        <v>193</v>
      </c>
      <c r="C22" s="169">
        <f>IF(ISERROR(B22/SUM($B$20,$B$21,$B$22)*100),0,B22/SUM($B$20,$B$21,$B$22)*100)</f>
        <v>38.522954091816366</v>
      </c>
      <c r="D22" s="231"/>
      <c r="E22" s="15"/>
    </row>
    <row r="23" spans="1:7">
      <c r="A23" s="173" t="s">
        <v>76</v>
      </c>
      <c r="B23" s="37">
        <f>aantalw2001_niet_gespec</f>
        <v>70</v>
      </c>
      <c r="C23" s="168" t="s">
        <v>111</v>
      </c>
      <c r="D23" s="230"/>
      <c r="E23" s="15"/>
    </row>
    <row r="24" spans="1:7">
      <c r="A24" s="173" t="s">
        <v>77</v>
      </c>
      <c r="B24" s="37">
        <f>aantalw2001_steenkool</f>
        <v>116</v>
      </c>
      <c r="C24" s="168" t="s">
        <v>111</v>
      </c>
      <c r="D24" s="231"/>
      <c r="E24" s="15"/>
    </row>
    <row r="25" spans="1:7">
      <c r="A25" s="173" t="s">
        <v>78</v>
      </c>
      <c r="B25" s="37">
        <f>aantalw2001_stookolie</f>
        <v>3477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7212</v>
      </c>
      <c r="C28" s="36"/>
      <c r="D28" s="230"/>
    </row>
    <row r="29" spans="1:7" s="15" customFormat="1">
      <c r="A29" s="232" t="s">
        <v>746</v>
      </c>
      <c r="B29" s="37">
        <f>SUM(HH_hh_gas_aantal,HH_rest_gas_aantal)</f>
        <v>3822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3822</v>
      </c>
      <c r="C32" s="169">
        <f>IF(ISERROR(B32/SUM($B$32,$B$34,$B$35,$B$36,$B$38,$B$39)*100),0,B32/SUM($B$32,$B$34,$B$35,$B$36,$B$38,$B$39)*100)</f>
        <v>53.350083752093788</v>
      </c>
      <c r="D32" s="235"/>
      <c r="G32" s="15"/>
    </row>
    <row r="33" spans="1:7">
      <c r="A33" s="173" t="s">
        <v>72</v>
      </c>
      <c r="B33" s="34" t="s">
        <v>111</v>
      </c>
      <c r="C33" s="169"/>
      <c r="D33" s="235"/>
      <c r="G33" s="15"/>
    </row>
    <row r="34" spans="1:7">
      <c r="A34" s="173" t="s">
        <v>73</v>
      </c>
      <c r="B34" s="33">
        <f>IF((($B$28-$B$32-$B$39-$B$77-$B$38)*C20/100)&lt;0,0,($B$28-$B$32-$B$39-$B$77-$B$38)*C20/100)</f>
        <v>172.92934131736524</v>
      </c>
      <c r="C34" s="169">
        <f>IF(ISERROR(B34/SUM($B$32,$B$34,$B$35,$B$36,$B$38,$B$39)*100),0,B34/SUM($B$32,$B$34,$B$35,$B$36,$B$38,$B$39)*100)</f>
        <v>2.4138657358649529</v>
      </c>
      <c r="D34" s="235"/>
      <c r="G34" s="15"/>
    </row>
    <row r="35" spans="1:7">
      <c r="A35" s="173" t="s">
        <v>74</v>
      </c>
      <c r="B35" s="33">
        <f>IF((($B$28-$B$32-$B$39-$B$77-$B$38)*C21/100)&lt;0,0,($B$28-$B$32-$B$39-$B$77-$B$38)*C21/100)</f>
        <v>672.50299401197617</v>
      </c>
      <c r="C35" s="169">
        <f>IF(ISERROR(B35/SUM($B$32,$B$34,$B$35,$B$36,$B$38,$B$39)*100),0,B35/SUM($B$32,$B$34,$B$35,$B$36,$B$38,$B$39)*100)</f>
        <v>9.3872556394748194</v>
      </c>
      <c r="D35" s="235"/>
      <c r="G35" s="15"/>
    </row>
    <row r="36" spans="1:7">
      <c r="A36" s="173" t="s">
        <v>75</v>
      </c>
      <c r="B36" s="33">
        <f>IF((($B$28-$B$32-$B$39-$B$77-$B$38)*C22/100)&lt;0,0,($B$28-$B$32-$B$39-$B$77-$B$38)*C22/100)</f>
        <v>529.76766467065875</v>
      </c>
      <c r="C36" s="169">
        <f>IF(ISERROR(B36/SUM($B$32,$B$34,$B$35,$B$36,$B$38,$B$39)*100),0,B36/SUM($B$32,$B$34,$B$35,$B$36,$B$38,$B$39)*100)</f>
        <v>7.3948585241577147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1966.8</v>
      </c>
      <c r="C39" s="169">
        <f>IF(ISERROR(B39/SUM($B$32,$B$34,$B$35,$B$36,$B$38,$B$39)*100),0,B39/SUM($B$32,$B$34,$B$35,$B$36,$B$38,$B$39)*100)</f>
        <v>27.453936348408707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3822</v>
      </c>
      <c r="C44" s="34" t="s">
        <v>111</v>
      </c>
      <c r="D44" s="176"/>
    </row>
    <row r="45" spans="1:7">
      <c r="A45" s="173" t="s">
        <v>72</v>
      </c>
      <c r="B45" s="33" t="str">
        <f t="shared" si="0"/>
        <v>-</v>
      </c>
      <c r="C45" s="34" t="s">
        <v>111</v>
      </c>
      <c r="D45" s="176"/>
    </row>
    <row r="46" spans="1:7">
      <c r="A46" s="173" t="s">
        <v>73</v>
      </c>
      <c r="B46" s="33">
        <f t="shared" si="0"/>
        <v>172.92934131736524</v>
      </c>
      <c r="C46" s="34" t="s">
        <v>111</v>
      </c>
      <c r="D46" s="176"/>
    </row>
    <row r="47" spans="1:7">
      <c r="A47" s="173" t="s">
        <v>74</v>
      </c>
      <c r="B47" s="33">
        <f t="shared" si="0"/>
        <v>672.50299401197617</v>
      </c>
      <c r="C47" s="34" t="s">
        <v>111</v>
      </c>
      <c r="D47" s="176"/>
    </row>
    <row r="48" spans="1:7">
      <c r="A48" s="173" t="s">
        <v>75</v>
      </c>
      <c r="B48" s="33">
        <f t="shared" si="0"/>
        <v>529.76766467065875</v>
      </c>
      <c r="C48" s="33">
        <f>B48*10</f>
        <v>5297.6766467065872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1966.8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21293.054378453628</v>
      </c>
      <c r="C5" s="17">
        <f>IF(ISERROR('Eigen informatie GS &amp; warmtenet'!B58),0,'Eigen informatie GS &amp; warmtenet'!B58)</f>
        <v>0</v>
      </c>
      <c r="D5" s="30">
        <f>SUM(D6:D12)</f>
        <v>23311.918781223383</v>
      </c>
      <c r="E5" s="17">
        <f>SUM(E6:E12)</f>
        <v>421.18330798841453</v>
      </c>
      <c r="F5" s="17">
        <f>SUM(F6:F12)</f>
        <v>4775.1838099594142</v>
      </c>
      <c r="G5" s="18"/>
      <c r="H5" s="17"/>
      <c r="I5" s="17"/>
      <c r="J5" s="17">
        <f>SUM(J6:J12)</f>
        <v>0</v>
      </c>
      <c r="K5" s="17"/>
      <c r="L5" s="17"/>
      <c r="M5" s="17"/>
      <c r="N5" s="17">
        <f>SUM(N6:N12)</f>
        <v>2848.1598367348938</v>
      </c>
      <c r="O5" s="17">
        <f>B38*B39*B40</f>
        <v>7.8166666666666664</v>
      </c>
      <c r="P5" s="17">
        <f>B46*B47*B48/1000-B46*B47*B48/1000/B49</f>
        <v>19.066666666666666</v>
      </c>
      <c r="R5" s="32"/>
    </row>
    <row r="6" spans="1:18">
      <c r="A6" s="32" t="s">
        <v>54</v>
      </c>
      <c r="B6" s="37">
        <f>B26</f>
        <v>3020.4167072181399</v>
      </c>
      <c r="C6" s="33"/>
      <c r="D6" s="37">
        <f>IF(ISERROR(TER_kantoor_gas_kWh/1000),0,TER_kantoor_gas_kWh/1000)*0.902</f>
        <v>6010.2824774856081</v>
      </c>
      <c r="E6" s="33">
        <f>$C$26*'E Balans VL '!I12/100/3.6*1000000</f>
        <v>11.734958367017398</v>
      </c>
      <c r="F6" s="33">
        <f>$C$26*('E Balans VL '!L12+'E Balans VL '!N12)/100/3.6*1000000</f>
        <v>459.37789756702614</v>
      </c>
      <c r="G6" s="34"/>
      <c r="H6" s="33"/>
      <c r="I6" s="33"/>
      <c r="J6" s="33">
        <f>$C$26*('E Balans VL '!D12+'E Balans VL '!E12)/100/3.6*1000000</f>
        <v>0</v>
      </c>
      <c r="K6" s="33"/>
      <c r="L6" s="33"/>
      <c r="M6" s="33"/>
      <c r="N6" s="33">
        <f>$C$26*'E Balans VL '!Y12/100/3.6*1000000</f>
        <v>1.6646114426877805</v>
      </c>
      <c r="O6" s="33"/>
      <c r="P6" s="33"/>
      <c r="R6" s="32"/>
    </row>
    <row r="7" spans="1:18">
      <c r="A7" s="32" t="s">
        <v>53</v>
      </c>
      <c r="B7" s="37">
        <f t="shared" ref="B7:B12" si="0">B27</f>
        <v>4776.9676952381196</v>
      </c>
      <c r="C7" s="33"/>
      <c r="D7" s="37">
        <f>IF(ISERROR(TER_horeca_gas_kWh/1000),0,TER_horeca_gas_kWh/1000)*0.902</f>
        <v>6018.0062650119262</v>
      </c>
      <c r="E7" s="33">
        <f>$C$27*'E Balans VL '!I9/100/3.6*1000000</f>
        <v>269.08786742232371</v>
      </c>
      <c r="F7" s="33">
        <f>$C$27*('E Balans VL '!L9+'E Balans VL '!N9)/100/3.6*1000000</f>
        <v>1377.3914920889836</v>
      </c>
      <c r="G7" s="34"/>
      <c r="H7" s="33"/>
      <c r="I7" s="33"/>
      <c r="J7" s="33">
        <f>$C$27*('E Balans VL '!D9+'E Balans VL '!E9)/100/3.6*1000000</f>
        <v>0</v>
      </c>
      <c r="K7" s="33"/>
      <c r="L7" s="33"/>
      <c r="M7" s="33"/>
      <c r="N7" s="33">
        <f>$C$27*'E Balans VL '!Y9/100/3.6*1000000</f>
        <v>1.3188959571955374</v>
      </c>
      <c r="O7" s="33"/>
      <c r="P7" s="33"/>
      <c r="R7" s="32"/>
    </row>
    <row r="8" spans="1:18">
      <c r="A8" s="6" t="s">
        <v>52</v>
      </c>
      <c r="B8" s="37">
        <f t="shared" si="0"/>
        <v>4473.65863637851</v>
      </c>
      <c r="C8" s="33"/>
      <c r="D8" s="37">
        <f>IF(ISERROR(TER_handel_gas_kWh/1000),0,TER_handel_gas_kWh/1000)*0.902</f>
        <v>1764.2335728589992</v>
      </c>
      <c r="E8" s="33">
        <f>$C$28*'E Balans VL '!I13/100/3.6*1000000</f>
        <v>64.48059856416414</v>
      </c>
      <c r="F8" s="33">
        <f>$C$28*('E Balans VL '!L13+'E Balans VL '!N13)/100/3.6*1000000</f>
        <v>777.17868961833904</v>
      </c>
      <c r="G8" s="34"/>
      <c r="H8" s="33"/>
      <c r="I8" s="33"/>
      <c r="J8" s="33">
        <f>$C$28*('E Balans VL '!D13+'E Balans VL '!E13)/100/3.6*1000000</f>
        <v>0</v>
      </c>
      <c r="K8" s="33"/>
      <c r="L8" s="33"/>
      <c r="M8" s="33"/>
      <c r="N8" s="33">
        <f>$C$28*'E Balans VL '!Y13/100/3.6*1000000</f>
        <v>13.403579292528661</v>
      </c>
      <c r="O8" s="33"/>
      <c r="P8" s="33"/>
      <c r="R8" s="32"/>
    </row>
    <row r="9" spans="1:18">
      <c r="A9" s="32" t="s">
        <v>51</v>
      </c>
      <c r="B9" s="37">
        <f t="shared" si="0"/>
        <v>424.50037434644395</v>
      </c>
      <c r="C9" s="33"/>
      <c r="D9" s="37">
        <f>IF(ISERROR(TER_gezond_gas_kWh/1000),0,TER_gezond_gas_kWh/1000)*0.902</f>
        <v>980.58801776557311</v>
      </c>
      <c r="E9" s="33">
        <f>$C$29*'E Balans VL '!I10/100/3.6*1000000</f>
        <v>0.4534764262584392</v>
      </c>
      <c r="F9" s="33">
        <f>$C$29*('E Balans VL '!L10+'E Balans VL '!N10)/100/3.6*1000000</f>
        <v>69.248912106396418</v>
      </c>
      <c r="G9" s="34"/>
      <c r="H9" s="33"/>
      <c r="I9" s="33"/>
      <c r="J9" s="33">
        <f>$C$29*('E Balans VL '!D10+'E Balans VL '!E10)/100/3.6*1000000</f>
        <v>0</v>
      </c>
      <c r="K9" s="33"/>
      <c r="L9" s="33"/>
      <c r="M9" s="33"/>
      <c r="N9" s="33">
        <f>$C$29*'E Balans VL '!Y10/100/3.6*1000000</f>
        <v>4.3699891388153036</v>
      </c>
      <c r="O9" s="33"/>
      <c r="P9" s="33"/>
      <c r="R9" s="32"/>
    </row>
    <row r="10" spans="1:18">
      <c r="A10" s="32" t="s">
        <v>50</v>
      </c>
      <c r="B10" s="37">
        <f t="shared" si="0"/>
        <v>3506.3349699344403</v>
      </c>
      <c r="C10" s="33"/>
      <c r="D10" s="37">
        <f>IF(ISERROR(TER_ander_gas_kWh/1000),0,TER_ander_gas_kWh/1000)*0.902</f>
        <v>474.50368175097265</v>
      </c>
      <c r="E10" s="33">
        <f>$C$30*'E Balans VL '!I14/100/3.6*1000000</f>
        <v>16.12510117358682</v>
      </c>
      <c r="F10" s="33">
        <f>$C$30*('E Balans VL '!L14+'E Balans VL '!N14)/100/3.6*1000000</f>
        <v>1050.9591902348202</v>
      </c>
      <c r="G10" s="34"/>
      <c r="H10" s="33"/>
      <c r="I10" s="33"/>
      <c r="J10" s="33">
        <f>$C$30*('E Balans VL '!D14+'E Balans VL '!E14)/100/3.6*1000000</f>
        <v>0</v>
      </c>
      <c r="K10" s="33"/>
      <c r="L10" s="33"/>
      <c r="M10" s="33"/>
      <c r="N10" s="33">
        <f>$C$30*'E Balans VL '!Y14/100/3.6*1000000</f>
        <v>2440.640594941005</v>
      </c>
      <c r="O10" s="33"/>
      <c r="P10" s="33"/>
      <c r="R10" s="32"/>
    </row>
    <row r="11" spans="1:18">
      <c r="A11" s="32" t="s">
        <v>55</v>
      </c>
      <c r="B11" s="37">
        <f t="shared" si="0"/>
        <v>218.90340095694401</v>
      </c>
      <c r="C11" s="33"/>
      <c r="D11" s="37">
        <f>IF(ISERROR(TER_onderwijs_gas_kWh/1000),0,TER_onderwijs_gas_kWh/1000)*0.902</f>
        <v>475.98786074411277</v>
      </c>
      <c r="E11" s="33">
        <f>$C$31*'E Balans VL '!I11/100/3.6*1000000</f>
        <v>0.20306169210637437</v>
      </c>
      <c r="F11" s="33">
        <f>$C$31*('E Balans VL '!L11+'E Balans VL '!N11)/100/3.6*1000000</f>
        <v>76.89573362322281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4872.2725943810301</v>
      </c>
      <c r="C12" s="33"/>
      <c r="D12" s="37">
        <f>IF(ISERROR(TER_rest_gas_kWh/1000),0,TER_rest_gas_kWh/1000)*0.902</f>
        <v>7588.3169056061915</v>
      </c>
      <c r="E12" s="33">
        <f>$C$32*'E Balans VL '!I8/100/3.6*1000000</f>
        <v>59.098244342957699</v>
      </c>
      <c r="F12" s="33">
        <f>$C$32*('E Balans VL '!L8+'E Balans VL '!N8)/100/3.6*1000000</f>
        <v>964.13189472062606</v>
      </c>
      <c r="G12" s="34"/>
      <c r="H12" s="33"/>
      <c r="I12" s="33"/>
      <c r="J12" s="33">
        <f>$C$32*('E Balans VL '!D8+'E Balans VL '!E8)/100/3.6*1000000</f>
        <v>0</v>
      </c>
      <c r="K12" s="33"/>
      <c r="L12" s="33"/>
      <c r="M12" s="33"/>
      <c r="N12" s="33">
        <f>$C$32*'E Balans VL '!Y8/100/3.6*1000000</f>
        <v>386.7621659626617</v>
      </c>
      <c r="O12" s="33"/>
      <c r="P12" s="33"/>
      <c r="R12" s="32"/>
    </row>
    <row r="13" spans="1:18">
      <c r="A13" s="16" t="s">
        <v>497</v>
      </c>
      <c r="B13" s="249">
        <f ca="1">'lokale energieproductie'!N91+'lokale energieproductie'!N60</f>
        <v>1341</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22634.054378453628</v>
      </c>
      <c r="C16" s="21">
        <f t="shared" ca="1" si="1"/>
        <v>0</v>
      </c>
      <c r="D16" s="21">
        <f t="shared" ca="1" si="1"/>
        <v>23311.918781223383</v>
      </c>
      <c r="E16" s="21">
        <f t="shared" si="1"/>
        <v>421.18330798841453</v>
      </c>
      <c r="F16" s="21">
        <f t="shared" ca="1" si="1"/>
        <v>4775.1838099594142</v>
      </c>
      <c r="G16" s="21">
        <f t="shared" si="1"/>
        <v>0</v>
      </c>
      <c r="H16" s="21">
        <f t="shared" si="1"/>
        <v>0</v>
      </c>
      <c r="I16" s="21">
        <f t="shared" si="1"/>
        <v>0</v>
      </c>
      <c r="J16" s="21">
        <f t="shared" si="1"/>
        <v>0</v>
      </c>
      <c r="K16" s="21">
        <f t="shared" si="1"/>
        <v>0</v>
      </c>
      <c r="L16" s="21">
        <f t="shared" ca="1" si="1"/>
        <v>0</v>
      </c>
      <c r="M16" s="21">
        <f t="shared" si="1"/>
        <v>0</v>
      </c>
      <c r="N16" s="21">
        <f t="shared" ca="1" si="1"/>
        <v>0</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0.19465993126265993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4405.9434695050904</v>
      </c>
      <c r="C20" s="23">
        <f t="shared" ref="C20:P20" ca="1" si="2">C16*C18</f>
        <v>0</v>
      </c>
      <c r="D20" s="23">
        <f t="shared" ca="1" si="2"/>
        <v>4709.0075938071241</v>
      </c>
      <c r="E20" s="23">
        <f t="shared" si="2"/>
        <v>95.6086109133701</v>
      </c>
      <c r="F20" s="23">
        <f t="shared" ca="1" si="2"/>
        <v>1274.9740772591638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3020.4167072181399</v>
      </c>
      <c r="C26" s="39">
        <f>IF(ISERROR(B26*3.6/1000000/'E Balans VL '!Z12*100),0,B26*3.6/1000000/'E Balans VL '!Z12*100)</f>
        <v>6.4155146981257113E-2</v>
      </c>
      <c r="D26" s="239" t="s">
        <v>692</v>
      </c>
      <c r="F26" s="6"/>
    </row>
    <row r="27" spans="1:18">
      <c r="A27" s="233" t="s">
        <v>53</v>
      </c>
      <c r="B27" s="33">
        <f>IF(ISERROR(TER_horeca_ele_kWh/1000),0,TER_horeca_ele_kWh/1000)</f>
        <v>4776.9676952381196</v>
      </c>
      <c r="C27" s="39">
        <f>IF(ISERROR(B27*3.6/1000000/'E Balans VL '!Z9*100),0,B27*3.6/1000000/'E Balans VL '!Z9*100)</f>
        <v>0.37143833041204427</v>
      </c>
      <c r="D27" s="239" t="s">
        <v>692</v>
      </c>
      <c r="F27" s="6"/>
    </row>
    <row r="28" spans="1:18">
      <c r="A28" s="173" t="s">
        <v>52</v>
      </c>
      <c r="B28" s="33">
        <f>IF(ISERROR(TER_handel_ele_kWh/1000),0,TER_handel_ele_kWh/1000)</f>
        <v>4473.65863637851</v>
      </c>
      <c r="C28" s="39">
        <f>IF(ISERROR(B28*3.6/1000000/'E Balans VL '!Z13*100),0,B28*3.6/1000000/'E Balans VL '!Z13*100)</f>
        <v>0.12799663855632251</v>
      </c>
      <c r="D28" s="239" t="s">
        <v>692</v>
      </c>
      <c r="F28" s="6"/>
    </row>
    <row r="29" spans="1:18">
      <c r="A29" s="233" t="s">
        <v>51</v>
      </c>
      <c r="B29" s="33">
        <f>IF(ISERROR(TER_gezond_ele_kWh/1000),0,TER_gezond_ele_kWh/1000)</f>
        <v>424.50037434644395</v>
      </c>
      <c r="C29" s="39">
        <f>IF(ISERROR(B29*3.6/1000000/'E Balans VL '!Z10*100),0,B29*3.6/1000000/'E Balans VL '!Z10*100)</f>
        <v>4.6280405009430009E-2</v>
      </c>
      <c r="D29" s="239" t="s">
        <v>692</v>
      </c>
      <c r="F29" s="6"/>
    </row>
    <row r="30" spans="1:18">
      <c r="A30" s="233" t="s">
        <v>50</v>
      </c>
      <c r="B30" s="33">
        <f>IF(ISERROR(TER_ander_ele_kWh/1000),0,TER_ander_ele_kWh/1000)</f>
        <v>3506.3349699344403</v>
      </c>
      <c r="C30" s="39">
        <f>IF(ISERROR(B30*3.6/1000000/'E Balans VL '!Z14*100),0,B30*3.6/1000000/'E Balans VL '!Z14*100)</f>
        <v>0.25658563916747457</v>
      </c>
      <c r="D30" s="239" t="s">
        <v>692</v>
      </c>
      <c r="F30" s="6"/>
    </row>
    <row r="31" spans="1:18">
      <c r="A31" s="233" t="s">
        <v>55</v>
      </c>
      <c r="B31" s="33">
        <f>IF(ISERROR(TER_onderwijs_ele_kWh/1000),0,TER_onderwijs_ele_kWh/1000)</f>
        <v>218.90340095694401</v>
      </c>
      <c r="C31" s="39">
        <f>IF(ISERROR(B31*3.6/1000000/'E Balans VL '!Z11*100),0,B31*3.6/1000000/'E Balans VL '!Z11*100)</f>
        <v>4.396691063538536E-2</v>
      </c>
      <c r="D31" s="239" t="s">
        <v>692</v>
      </c>
    </row>
    <row r="32" spans="1:18">
      <c r="A32" s="233" t="s">
        <v>260</v>
      </c>
      <c r="B32" s="33">
        <f>IF(ISERROR(TER_rest_ele_kWh/1000),0,TER_rest_ele_kWh/1000)</f>
        <v>4872.2725943810301</v>
      </c>
      <c r="C32" s="39">
        <f>IF(ISERROR(B32*3.6/1000000/'E Balans VL '!Z8*100),0,B32*3.6/1000000/'E Balans VL '!Z8*100)</f>
        <v>3.970606481220211E-2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12031.36554821428</v>
      </c>
      <c r="C5" s="17">
        <f>IF(ISERROR('Eigen informatie GS &amp; warmtenet'!B59),0,'Eigen informatie GS &amp; warmtenet'!B59)</f>
        <v>0</v>
      </c>
      <c r="D5" s="30">
        <f>SUM(D6:D15)</f>
        <v>3925.726720814469</v>
      </c>
      <c r="E5" s="17">
        <f>SUM(E6:E15)</f>
        <v>1222.0521349869225</v>
      </c>
      <c r="F5" s="17">
        <f>SUM(F6:F15)</f>
        <v>16197.131734559631</v>
      </c>
      <c r="G5" s="18"/>
      <c r="H5" s="17"/>
      <c r="I5" s="17"/>
      <c r="J5" s="17">
        <f>SUM(J6:J15)</f>
        <v>0.88499742149950333</v>
      </c>
      <c r="K5" s="17"/>
      <c r="L5" s="17"/>
      <c r="M5" s="17"/>
      <c r="N5" s="17">
        <f>SUM(N6:N15)</f>
        <v>3709.2765626310124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83.669528309911001</v>
      </c>
      <c r="C8" s="33"/>
      <c r="D8" s="37">
        <f>IF( ISERROR(IND_metaal_Gas_kWH/1000),0,IND_metaal_Gas_kWH/1000)*0.902</f>
        <v>0</v>
      </c>
      <c r="E8" s="33">
        <f>C30*'E Balans VL '!I18/100/3.6*1000000</f>
        <v>2.4033029099418748</v>
      </c>
      <c r="F8" s="33">
        <f>C30*'E Balans VL '!L18/100/3.6*1000000+C30*'E Balans VL '!N18/100/3.6*1000000</f>
        <v>21.459624815203107</v>
      </c>
      <c r="G8" s="34"/>
      <c r="H8" s="33"/>
      <c r="I8" s="33"/>
      <c r="J8" s="40">
        <f>C30*'E Balans VL '!D18/100/3.6*1000000+C30*'E Balans VL '!E18/100/3.6*1000000</f>
        <v>0</v>
      </c>
      <c r="K8" s="33"/>
      <c r="L8" s="33"/>
      <c r="M8" s="33"/>
      <c r="N8" s="33">
        <f>C30*'E Balans VL '!Y18/100/3.6*1000000</f>
        <v>2.2717984873190273</v>
      </c>
      <c r="O8" s="33"/>
      <c r="P8" s="33"/>
      <c r="R8" s="32"/>
    </row>
    <row r="9" spans="1:18">
      <c r="A9" s="6" t="s">
        <v>33</v>
      </c>
      <c r="B9" s="37">
        <f t="shared" si="0"/>
        <v>1373.16558094832</v>
      </c>
      <c r="C9" s="33"/>
      <c r="D9" s="37">
        <f>IF( ISERROR(IND_andere_gas_kWh/1000),0,IND_andere_gas_kWh/1000)*0.902</f>
        <v>1492.770843485803</v>
      </c>
      <c r="E9" s="33">
        <f>C31*'E Balans VL '!I19/100/3.6*1000000</f>
        <v>371.68216068503273</v>
      </c>
      <c r="F9" s="33">
        <f>C31*'E Balans VL '!L19/100/3.6*1000000+C31*'E Balans VL '!N19/100/3.6*1000000</f>
        <v>914.67358818415369</v>
      </c>
      <c r="G9" s="34"/>
      <c r="H9" s="33"/>
      <c r="I9" s="33"/>
      <c r="J9" s="40">
        <f>C31*'E Balans VL '!D19/100/3.6*1000000+C31*'E Balans VL '!E19/100/3.6*1000000</f>
        <v>0</v>
      </c>
      <c r="K9" s="33"/>
      <c r="L9" s="33"/>
      <c r="M9" s="33"/>
      <c r="N9" s="33">
        <f>C31*'E Balans VL '!Y19/100/3.6*1000000</f>
        <v>448.31575194651998</v>
      </c>
      <c r="O9" s="33"/>
      <c r="P9" s="33"/>
      <c r="R9" s="32"/>
    </row>
    <row r="10" spans="1:18">
      <c r="A10" s="6" t="s">
        <v>41</v>
      </c>
      <c r="B10" s="37">
        <f t="shared" si="0"/>
        <v>10183.730458756299</v>
      </c>
      <c r="C10" s="33"/>
      <c r="D10" s="37">
        <f>IF( ISERROR(IND_voed_gas_kWh/1000),0,IND_voed_gas_kWh/1000)*0.902</f>
        <v>1548.2073497130839</v>
      </c>
      <c r="E10" s="33">
        <f>C32*'E Balans VL '!I20/100/3.6*1000000</f>
        <v>830.60845272808376</v>
      </c>
      <c r="F10" s="33">
        <f>C32*'E Balans VL '!L20/100/3.6*1000000+C32*'E Balans VL '!N20/100/3.6*1000000</f>
        <v>15184.866062990461</v>
      </c>
      <c r="G10" s="34"/>
      <c r="H10" s="33"/>
      <c r="I10" s="33"/>
      <c r="J10" s="40">
        <f>C32*'E Balans VL '!D20/100/3.6*1000000+C32*'E Balans VL '!E20/100/3.6*1000000</f>
        <v>0.13471839257885698</v>
      </c>
      <c r="K10" s="33"/>
      <c r="L10" s="33"/>
      <c r="M10" s="33"/>
      <c r="N10" s="33">
        <f>C32*'E Balans VL '!Y20/100/3.6*1000000</f>
        <v>2991.6206636821244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98.072465415793189</v>
      </c>
      <c r="C13" s="33"/>
      <c r="D13" s="37">
        <f>IF( ISERROR(IND_papier_gas_kWh/1000),0,IND_papier_gas_kWh/1000)*0.902</f>
        <v>0</v>
      </c>
      <c r="E13" s="33">
        <f>C35*'E Balans VL '!I23/100/3.6*1000000</f>
        <v>1.0274877414579495</v>
      </c>
      <c r="F13" s="33">
        <f>C35*'E Balans VL '!L23/100/3.6*1000000+C35*'E Balans VL '!N23/100/3.6*1000000</f>
        <v>7.3181847522819297</v>
      </c>
      <c r="G13" s="34"/>
      <c r="H13" s="33"/>
      <c r="I13" s="33"/>
      <c r="J13" s="40">
        <f>C35*'E Balans VL '!D23/100/3.6*1000000+C35*'E Balans VL '!E23/100/3.6*1000000</f>
        <v>0</v>
      </c>
      <c r="K13" s="33"/>
      <c r="L13" s="33"/>
      <c r="M13" s="33"/>
      <c r="N13" s="33">
        <f>C35*'E Balans VL '!Y23/100/3.6*1000000</f>
        <v>209.61965833334298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292.72751478395696</v>
      </c>
      <c r="C15" s="33"/>
      <c r="D15" s="37">
        <f>IF( ISERROR(IND_rest_gas_kWh/1000),0,IND_rest_gas_kWh/1000)*0.902</f>
        <v>884.74852761558213</v>
      </c>
      <c r="E15" s="33">
        <f>C37*'E Balans VL '!I15/100/3.6*1000000</f>
        <v>16.330730922406325</v>
      </c>
      <c r="F15" s="33">
        <f>C37*'E Balans VL '!L15/100/3.6*1000000+C37*'E Balans VL '!N15/100/3.6*1000000</f>
        <v>68.81427381752988</v>
      </c>
      <c r="G15" s="34"/>
      <c r="H15" s="33"/>
      <c r="I15" s="33"/>
      <c r="J15" s="40">
        <f>C37*'E Balans VL '!D15/100/3.6*1000000+C37*'E Balans VL '!E15/100/3.6*1000000</f>
        <v>0.75027902892064635</v>
      </c>
      <c r="K15" s="33"/>
      <c r="L15" s="33"/>
      <c r="M15" s="33"/>
      <c r="N15" s="33">
        <f>C37*'E Balans VL '!Y15/100/3.6*1000000</f>
        <v>57.448690181705864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12031.36554821428</v>
      </c>
      <c r="C18" s="21">
        <f>C5+C16</f>
        <v>0</v>
      </c>
      <c r="D18" s="21">
        <f>MAX((D5+D16),0)</f>
        <v>3925.726720814469</v>
      </c>
      <c r="E18" s="21">
        <f>MAX((E5+E16),0)</f>
        <v>1222.0521349869225</v>
      </c>
      <c r="F18" s="21">
        <f>MAX((F5+F16),0)</f>
        <v>16197.131734559631</v>
      </c>
      <c r="G18" s="21"/>
      <c r="H18" s="21"/>
      <c r="I18" s="21"/>
      <c r="J18" s="21">
        <f>MAX((J5+J16),0)</f>
        <v>0.88499742149950333</v>
      </c>
      <c r="K18" s="21"/>
      <c r="L18" s="21">
        <f>MAX((L5+L16),0)</f>
        <v>0</v>
      </c>
      <c r="M18" s="21"/>
      <c r="N18" s="21">
        <f>MAX((N5+N16),0)</f>
        <v>3709.2765626310124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0.19465993126265993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2342.0247906113268</v>
      </c>
      <c r="C22" s="23">
        <f ca="1">C18*C20</f>
        <v>0</v>
      </c>
      <c r="D22" s="23">
        <f>D18*D20</f>
        <v>792.99679760452284</v>
      </c>
      <c r="E22" s="23">
        <f>E18*E20</f>
        <v>277.40583464203144</v>
      </c>
      <c r="F22" s="23">
        <f>F18*F20</f>
        <v>4324.6341731274215</v>
      </c>
      <c r="G22" s="23"/>
      <c r="H22" s="23"/>
      <c r="I22" s="23"/>
      <c r="J22" s="23">
        <f>J18*J20</f>
        <v>0.31328908721082416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83.669528309911001</v>
      </c>
      <c r="C30" s="39">
        <f>IF(ISERROR(B30*3.6/1000000/'E Balans VL '!Z18*100),0,B30*3.6/1000000/'E Balans VL '!Z18*100)</f>
        <v>8.2328680001416809E-3</v>
      </c>
      <c r="D30" s="239" t="s">
        <v>692</v>
      </c>
    </row>
    <row r="31" spans="1:18">
      <c r="A31" s="6" t="s">
        <v>33</v>
      </c>
      <c r="B31" s="37">
        <f>IF( ISERROR(IND_ander_ele_kWh/1000),0,IND_ander_ele_kWh/1000)</f>
        <v>1373.16558094832</v>
      </c>
      <c r="C31" s="39">
        <f>IF(ISERROR(B31*3.6/1000000/'E Balans VL '!Z19*100),0,B31*3.6/1000000/'E Balans VL '!Z19*100)</f>
        <v>5.9800265686905461E-2</v>
      </c>
      <c r="D31" s="239" t="s">
        <v>692</v>
      </c>
    </row>
    <row r="32" spans="1:18">
      <c r="A32" s="173" t="s">
        <v>41</v>
      </c>
      <c r="B32" s="37">
        <f>IF( ISERROR(IND_voed_ele_kWh/1000),0,IND_voed_ele_kWh/1000)</f>
        <v>10183.730458756299</v>
      </c>
      <c r="C32" s="39">
        <f>IF(ISERROR(B32*3.6/1000000/'E Balans VL '!Z20*100),0,B32*3.6/1000000/'E Balans VL '!Z20*100)</f>
        <v>1.9322159891787494</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98.072465415793189</v>
      </c>
      <c r="C35" s="39">
        <f>IF(ISERROR(B35*3.6/1000000/'E Balans VL '!Z22*100),0,B35*3.6/1000000/'E Balans VL '!Z22*100)</f>
        <v>1.378997345046197E-2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292.72751478395696</v>
      </c>
      <c r="C37" s="39">
        <f>IF(ISERROR(B37*3.6/1000000/'E Balans VL '!Z15*100),0,B37*3.6/1000000/'E Balans VL '!Z15*100)</f>
        <v>2.2558250449107226E-3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3984.1690697685917</v>
      </c>
      <c r="C5" s="17">
        <f>'Eigen informatie GS &amp; warmtenet'!B60</f>
        <v>0</v>
      </c>
      <c r="D5" s="30">
        <f>IF(ISERROR(SUM(LB_lb_gas_kWh,LB_rest_gas_kWh)/1000),0,SUM(LB_lb_gas_kWh,LB_rest_gas_kWh)/1000)*0.902</f>
        <v>133.47420308622043</v>
      </c>
      <c r="E5" s="17">
        <f>B17*'E Balans VL '!I25/3.6*1000000/100</f>
        <v>50.205662932420147</v>
      </c>
      <c r="F5" s="17">
        <f>B17*('E Balans VL '!L25/3.6*1000000+'E Balans VL '!N25/3.6*1000000)/100</f>
        <v>13746.38138469218</v>
      </c>
      <c r="G5" s="18"/>
      <c r="H5" s="17"/>
      <c r="I5" s="17"/>
      <c r="J5" s="17">
        <f>('E Balans VL '!D25+'E Balans VL '!E25)/3.6*1000000*landbouw!B17/100</f>
        <v>599.17373765765933</v>
      </c>
      <c r="K5" s="17"/>
      <c r="L5" s="17">
        <f>L6*(-1)</f>
        <v>0</v>
      </c>
      <c r="M5" s="17"/>
      <c r="N5" s="17">
        <f>N6*(-1)</f>
        <v>40.392857142857139</v>
      </c>
      <c r="O5" s="17"/>
      <c r="P5" s="17"/>
      <c r="R5" s="32"/>
    </row>
    <row r="6" spans="1:18">
      <c r="A6" s="16" t="s">
        <v>497</v>
      </c>
      <c r="B6" s="17" t="s">
        <v>211</v>
      </c>
      <c r="C6" s="17">
        <f>'lokale energieproductie'!O92+'lokale energieproductie'!O61</f>
        <v>27.696428571428569</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-40.392857142857139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3984.1690697685917</v>
      </c>
      <c r="C8" s="21">
        <f>C5+C6</f>
        <v>27.696428571428569</v>
      </c>
      <c r="D8" s="21">
        <f>MAX((D5+D6),0)</f>
        <v>133.47420308622043</v>
      </c>
      <c r="E8" s="21">
        <f>MAX((E5+E6),0)</f>
        <v>50.205662932420147</v>
      </c>
      <c r="F8" s="21">
        <f>MAX((F5+F6),0)</f>
        <v>13746.38138469218</v>
      </c>
      <c r="G8" s="21"/>
      <c r="H8" s="21"/>
      <c r="I8" s="21"/>
      <c r="J8" s="21">
        <f>MAX((J5+J6),0)</f>
        <v>599.17373765765933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0.19465993126265993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775.55807725996976</v>
      </c>
      <c r="C12" s="23">
        <f ca="1">C8*C10</f>
        <v>0</v>
      </c>
      <c r="D12" s="23">
        <f>D8*D10</f>
        <v>26.961789023416529</v>
      </c>
      <c r="E12" s="23">
        <f>E8*E10</f>
        <v>11.396685485659374</v>
      </c>
      <c r="F12" s="23">
        <f>F8*F10</f>
        <v>3670.2838297128123</v>
      </c>
      <c r="G12" s="23"/>
      <c r="H12" s="23"/>
      <c r="I12" s="23"/>
      <c r="J12" s="23">
        <f>J8*J10</f>
        <v>212.10750313081138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0.55566601151272932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639.30694050467434</v>
      </c>
      <c r="C26" s="249">
        <f>B26*'GWP N2O_CH4'!B5</f>
        <v>13425.445750598161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352.16680819284716</v>
      </c>
      <c r="C27" s="249">
        <f>B27*'GWP N2O_CH4'!B5</f>
        <v>7395.5029720497905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19.994100359881248</v>
      </c>
      <c r="C28" s="249">
        <f>B28*'GWP N2O_CH4'!B4</f>
        <v>6198.171111563187</v>
      </c>
      <c r="D28" s="50"/>
    </row>
    <row r="29" spans="1:4">
      <c r="A29" s="41" t="s">
        <v>277</v>
      </c>
      <c r="B29" s="249">
        <f>B34*'ha_N2O bodem landbouw'!B4</f>
        <v>18.042614567550142</v>
      </c>
      <c r="C29" s="249">
        <f>B29*'GWP N2O_CH4'!B4</f>
        <v>5593.2105159405437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4.5050605706806676E-3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2.3149162470694682E-5</v>
      </c>
      <c r="C5" s="448" t="s">
        <v>211</v>
      </c>
      <c r="D5" s="433">
        <f>SUM(D6:D11)</f>
        <v>3.7107491976630003E-5</v>
      </c>
      <c r="E5" s="433">
        <f>SUM(E6:E11)</f>
        <v>1.1409909237134136E-3</v>
      </c>
      <c r="F5" s="446" t="s">
        <v>211</v>
      </c>
      <c r="G5" s="433">
        <f>SUM(G6:G11)</f>
        <v>0.27061250820915139</v>
      </c>
      <c r="H5" s="433">
        <f>SUM(H6:H11)</f>
        <v>5.5627010766018364E-2</v>
      </c>
      <c r="I5" s="448" t="s">
        <v>211</v>
      </c>
      <c r="J5" s="448" t="s">
        <v>211</v>
      </c>
      <c r="K5" s="448" t="s">
        <v>211</v>
      </c>
      <c r="L5" s="448" t="s">
        <v>211</v>
      </c>
      <c r="M5" s="433">
        <f>SUM(M6:M11)</f>
        <v>1.4751761619790159E-2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1.9242562687841647E-5</v>
      </c>
      <c r="C6" s="887"/>
      <c r="D6" s="887">
        <f>vkm_2011_GW_PW*SUMIFS(TableVerdeelsleutelVkm[CNG],TableVerdeelsleutelVkm[Voertuigtype],"Lichte voertuigen")*SUMIFS(TableECFTransport[EnergieConsumptieFactor (PJ per km)],TableECFTransport[Index],CONCATENATE($A6,"_CNG_CNG"))</f>
        <v>2.7251232238217776E-5</v>
      </c>
      <c r="E6" s="887">
        <f>vkm_2011_GW_PW*SUMIFS(TableVerdeelsleutelVkm[LPG],TableVerdeelsleutelVkm[Voertuigtype],"Lichte voertuigen")*SUMIFS(TableECFTransport[EnergieConsumptieFactor (PJ per km)],TableECFTransport[Index],CONCATENATE($A6,"_LPG_LPG"))</f>
        <v>8.5587149117743924E-4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0.15382354247133845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4.1218255962099021E-2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8.8243141732421686E-3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5.8175412930920052E-2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2.0669121123667047E-5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2.6252722730895021E-3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3.9065997828530361E-6</v>
      </c>
      <c r="C8" s="887"/>
      <c r="D8" s="436">
        <f>vkm_2011_NGW_PW*SUMIFS(TableVerdeelsleutelVkm[CNG],TableVerdeelsleutelVkm[Voertuigtype],"Lichte voertuigen")*SUMIFS(TableECFTransport[EnergieConsumptieFactor (PJ per km)],TableECFTransport[Index],CONCATENATE($A8,"_CNG_CNG"))</f>
        <v>9.8562597384122258E-6</v>
      </c>
      <c r="E8" s="436">
        <f>vkm_2011_NGW_PW*SUMIFS(TableVerdeelsleutelVkm[LPG],TableVerdeelsleutelVkm[Voertuigtype],"Lichte voertuigen")*SUMIFS(TableECFTransport[EnergieConsumptieFactor (PJ per km)],TableECFTransport[Index],CONCATENATE($A8,"_LPG_LPG"))</f>
        <v>2.8511943253597445E-4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4.833050861701467E-2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1.4384628447489146E-2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2.8381429076558629E-3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1.0283044189878235E-2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3.4572353065305282E-6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4.6403226580262646E-4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6.4303229085263007</v>
      </c>
      <c r="C14" s="21"/>
      <c r="D14" s="21">
        <f t="shared" ref="D14:M14" si="0">((D5)*10^9/3600)+D12</f>
        <v>10.307636660175</v>
      </c>
      <c r="E14" s="21">
        <f t="shared" si="0"/>
        <v>316.94192325372597</v>
      </c>
      <c r="F14" s="21"/>
      <c r="G14" s="21">
        <f t="shared" si="0"/>
        <v>75170.141169208713</v>
      </c>
      <c r="H14" s="21">
        <f t="shared" si="0"/>
        <v>15451.9474350051</v>
      </c>
      <c r="I14" s="21"/>
      <c r="J14" s="21"/>
      <c r="K14" s="21"/>
      <c r="L14" s="21"/>
      <c r="M14" s="21">
        <f t="shared" si="0"/>
        <v>4097.7115610528217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0.19465993126265993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1.2517262153704372</v>
      </c>
      <c r="C18" s="23"/>
      <c r="D18" s="23">
        <f t="shared" ref="D18:M18" si="1">D14*D16</f>
        <v>2.08214260535535</v>
      </c>
      <c r="E18" s="23">
        <f t="shared" si="1"/>
        <v>71.945816578595796</v>
      </c>
      <c r="F18" s="23"/>
      <c r="G18" s="23">
        <f t="shared" si="1"/>
        <v>20070.427692178728</v>
      </c>
      <c r="H18" s="23">
        <f t="shared" si="1"/>
        <v>3847.5349113162702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5.2203288754068952E-3</v>
      </c>
      <c r="H50" s="323">
        <f t="shared" si="2"/>
        <v>0</v>
      </c>
      <c r="I50" s="323">
        <f t="shared" si="2"/>
        <v>0</v>
      </c>
      <c r="J50" s="323">
        <f t="shared" si="2"/>
        <v>0</v>
      </c>
      <c r="K50" s="323">
        <f t="shared" si="2"/>
        <v>0</v>
      </c>
      <c r="L50" s="323">
        <f t="shared" si="2"/>
        <v>0</v>
      </c>
      <c r="M50" s="323">
        <f t="shared" si="2"/>
        <v>2.3216079357724157E-4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5.2203288754068952E-3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2.3216079357724157E-4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1450.091354279693</v>
      </c>
      <c r="H54" s="21">
        <f t="shared" si="3"/>
        <v>0</v>
      </c>
      <c r="I54" s="21">
        <f t="shared" si="3"/>
        <v>0</v>
      </c>
      <c r="J54" s="21">
        <f t="shared" si="3"/>
        <v>0</v>
      </c>
      <c r="K54" s="21">
        <f t="shared" si="3"/>
        <v>0</v>
      </c>
      <c r="L54" s="21">
        <f t="shared" si="3"/>
        <v>0</v>
      </c>
      <c r="M54" s="21">
        <f t="shared" si="3"/>
        <v>64.489109327011548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0.19465993126265993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387.17439159267803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4"/>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1214.5020050000001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6290.4159999999993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8.1374999999999993</v>
      </c>
      <c r="C8" s="560">
        <f>B101</f>
        <v>0</v>
      </c>
      <c r="D8" s="1028"/>
      <c r="E8" s="1028">
        <f>E101</f>
        <v>0</v>
      </c>
      <c r="F8" s="1029"/>
      <c r="G8" s="561"/>
      <c r="H8" s="1028">
        <f>I101</f>
        <v>0</v>
      </c>
      <c r="I8" s="1028">
        <f>G101+F101</f>
        <v>0</v>
      </c>
      <c r="J8" s="1028">
        <f>H101+D101+C101</f>
        <v>9.1727836746897875</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1341</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8854.0555050000003</v>
      </c>
      <c r="C10" s="573">
        <f t="shared" ref="C10:L10" si="0">SUM(C8:C9)</f>
        <v>0</v>
      </c>
      <c r="D10" s="573">
        <f t="shared" si="0"/>
        <v>0</v>
      </c>
      <c r="E10" s="573">
        <f t="shared" si="0"/>
        <v>0</v>
      </c>
      <c r="F10" s="573">
        <f t="shared" si="0"/>
        <v>0</v>
      </c>
      <c r="G10" s="573">
        <f t="shared" si="0"/>
        <v>0</v>
      </c>
      <c r="H10" s="573">
        <f t="shared" si="0"/>
        <v>0</v>
      </c>
      <c r="I10" s="573">
        <f t="shared" si="0"/>
        <v>0</v>
      </c>
      <c r="J10" s="573">
        <f t="shared" si="0"/>
        <v>3840.6013551032615</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27.696428571428569</v>
      </c>
      <c r="C17" s="585">
        <f>B102</f>
        <v>0</v>
      </c>
      <c r="D17" s="586"/>
      <c r="E17" s="586">
        <f>E102</f>
        <v>0</v>
      </c>
      <c r="F17" s="1034"/>
      <c r="G17" s="587"/>
      <c r="H17" s="585">
        <f>I102</f>
        <v>0</v>
      </c>
      <c r="I17" s="586">
        <f>G102+F102</f>
        <v>0</v>
      </c>
      <c r="J17" s="586">
        <f>H102+D102+C102</f>
        <v>31.22007346816735</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27.696428571428569</v>
      </c>
      <c r="C20" s="572">
        <f>SUM(C17:C19)</f>
        <v>0</v>
      </c>
      <c r="D20" s="572">
        <f t="shared" ref="D20:L20" si="1">SUM(D17:D19)</f>
        <v>0</v>
      </c>
      <c r="E20" s="572">
        <f t="shared" si="1"/>
        <v>0</v>
      </c>
      <c r="F20" s="572">
        <f t="shared" si="1"/>
        <v>0</v>
      </c>
      <c r="G20" s="572">
        <f t="shared" si="1"/>
        <v>0</v>
      </c>
      <c r="H20" s="572">
        <f t="shared" si="1"/>
        <v>0</v>
      </c>
      <c r="I20" s="572">
        <f t="shared" si="1"/>
        <v>0</v>
      </c>
      <c r="J20" s="572">
        <f t="shared" si="1"/>
        <v>31.22007346816735</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13017</v>
      </c>
      <c r="C28" s="791">
        <v>2460</v>
      </c>
      <c r="D28" s="644" t="s">
        <v>913</v>
      </c>
      <c r="E28" s="643" t="s">
        <v>914</v>
      </c>
      <c r="F28" s="643" t="s">
        <v>915</v>
      </c>
      <c r="G28" s="643" t="s">
        <v>916</v>
      </c>
      <c r="H28" s="643" t="s">
        <v>916</v>
      </c>
      <c r="I28" s="643" t="s">
        <v>914</v>
      </c>
      <c r="J28" s="790">
        <v>40799</v>
      </c>
      <c r="K28" s="790">
        <v>40969</v>
      </c>
      <c r="L28" s="643" t="s">
        <v>917</v>
      </c>
      <c r="M28" s="643">
        <v>1</v>
      </c>
      <c r="N28" s="643">
        <v>4.5</v>
      </c>
      <c r="O28" s="643">
        <v>22.5</v>
      </c>
      <c r="P28" s="643">
        <v>0</v>
      </c>
      <c r="Q28" s="643">
        <v>0</v>
      </c>
      <c r="R28" s="643">
        <v>0</v>
      </c>
      <c r="S28" s="643">
        <v>0</v>
      </c>
      <c r="T28" s="643">
        <v>0</v>
      </c>
      <c r="U28" s="643">
        <v>0</v>
      </c>
      <c r="V28" s="643">
        <v>30</v>
      </c>
      <c r="W28" s="643">
        <v>0</v>
      </c>
      <c r="X28" s="643">
        <v>10</v>
      </c>
      <c r="Y28" s="643" t="s">
        <v>112</v>
      </c>
      <c r="Z28" s="645" t="s">
        <v>112</v>
      </c>
    </row>
    <row r="29" spans="1:26" s="597" customFormat="1" ht="25.5">
      <c r="A29" s="596"/>
      <c r="B29" s="791">
        <v>13017</v>
      </c>
      <c r="C29" s="791">
        <v>2460</v>
      </c>
      <c r="D29" s="644" t="s">
        <v>918</v>
      </c>
      <c r="E29" s="643" t="s">
        <v>919</v>
      </c>
      <c r="F29" s="643" t="s">
        <v>920</v>
      </c>
      <c r="G29" s="643" t="s">
        <v>921</v>
      </c>
      <c r="H29" s="643" t="s">
        <v>922</v>
      </c>
      <c r="I29" s="643" t="s">
        <v>919</v>
      </c>
      <c r="J29" s="790">
        <v>41586</v>
      </c>
      <c r="K29" s="790">
        <v>41586</v>
      </c>
      <c r="L29" s="643" t="s">
        <v>917</v>
      </c>
      <c r="M29" s="643">
        <v>9.6999999999999993</v>
      </c>
      <c r="N29" s="643">
        <v>3.6374999999999993</v>
      </c>
      <c r="O29" s="643">
        <v>5.1964285714285703</v>
      </c>
      <c r="P29" s="643">
        <v>0</v>
      </c>
      <c r="Q29" s="643">
        <v>10.392857142857142</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10.7</v>
      </c>
      <c r="N58" s="601">
        <f>SUM(N28:N57)</f>
        <v>8.1374999999999993</v>
      </c>
      <c r="O58" s="601">
        <f t="shared" ref="O58:W58" si="2">SUM(O28:O57)</f>
        <v>27.696428571428569</v>
      </c>
      <c r="P58" s="601">
        <f t="shared" si="2"/>
        <v>0</v>
      </c>
      <c r="Q58" s="601">
        <f t="shared" si="2"/>
        <v>10.392857142857142</v>
      </c>
      <c r="R58" s="601">
        <f t="shared" si="2"/>
        <v>0</v>
      </c>
      <c r="S58" s="601">
        <f t="shared" si="2"/>
        <v>0</v>
      </c>
      <c r="T58" s="601">
        <f t="shared" si="2"/>
        <v>0</v>
      </c>
      <c r="U58" s="601">
        <f t="shared" si="2"/>
        <v>0</v>
      </c>
      <c r="V58" s="601">
        <f t="shared" si="2"/>
        <v>30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10.7</v>
      </c>
      <c r="N61" s="606">
        <f t="shared" si="4"/>
        <v>8.1374999999999993</v>
      </c>
      <c r="O61" s="606">
        <f t="shared" si="4"/>
        <v>27.696428571428569</v>
      </c>
      <c r="P61" s="606">
        <f t="shared" si="4"/>
        <v>0</v>
      </c>
      <c r="Q61" s="606">
        <f t="shared" si="4"/>
        <v>10.392857142857142</v>
      </c>
      <c r="R61" s="606">
        <f t="shared" si="4"/>
        <v>0</v>
      </c>
      <c r="S61" s="606">
        <f t="shared" si="4"/>
        <v>0</v>
      </c>
      <c r="T61" s="606">
        <f t="shared" si="4"/>
        <v>0</v>
      </c>
      <c r="U61" s="606">
        <f t="shared" si="4"/>
        <v>0</v>
      </c>
      <c r="V61" s="606">
        <f t="shared" si="4"/>
        <v>30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13017</v>
      </c>
      <c r="C64" s="791">
        <v>2460</v>
      </c>
      <c r="D64" s="646" t="s">
        <v>923</v>
      </c>
      <c r="E64" s="646" t="s">
        <v>924</v>
      </c>
      <c r="F64" s="646" t="s">
        <v>925</v>
      </c>
      <c r="G64" s="646" t="s">
        <v>926</v>
      </c>
      <c r="H64" s="646" t="s">
        <v>927</v>
      </c>
      <c r="I64" s="646" t="s">
        <v>928</v>
      </c>
      <c r="J64" s="790">
        <v>38768</v>
      </c>
      <c r="K64" s="790">
        <v>39052</v>
      </c>
      <c r="L64" s="646" t="s">
        <v>929</v>
      </c>
      <c r="M64" s="646">
        <v>298</v>
      </c>
      <c r="N64" s="646">
        <v>1341</v>
      </c>
      <c r="O64" s="646">
        <v>0</v>
      </c>
      <c r="P64" s="646">
        <v>0</v>
      </c>
      <c r="Q64" s="646">
        <v>3831.4285714285716</v>
      </c>
      <c r="R64" s="646">
        <v>0</v>
      </c>
      <c r="S64" s="646">
        <v>0</v>
      </c>
      <c r="T64" s="646">
        <v>0</v>
      </c>
      <c r="U64" s="646">
        <v>0</v>
      </c>
      <c r="V64" s="646">
        <v>0</v>
      </c>
      <c r="W64" s="646">
        <v>0</v>
      </c>
      <c r="X64" s="646">
        <v>1600</v>
      </c>
      <c r="Y64" s="646" t="s">
        <v>50</v>
      </c>
      <c r="Z64" s="647" t="s">
        <v>156</v>
      </c>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298</v>
      </c>
      <c r="N89" s="601">
        <f t="shared" ref="N89:W89" si="5">SUM(N64:N88)</f>
        <v>1341</v>
      </c>
      <c r="O89" s="601">
        <f t="shared" si="5"/>
        <v>0</v>
      </c>
      <c r="P89" s="601">
        <f t="shared" si="5"/>
        <v>0</v>
      </c>
      <c r="Q89" s="601">
        <f t="shared" si="5"/>
        <v>3831.4285714285716</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298</v>
      </c>
      <c r="N91" s="601">
        <f t="shared" si="7"/>
        <v>1341</v>
      </c>
      <c r="O91" s="601">
        <f t="shared" si="7"/>
        <v>0</v>
      </c>
      <c r="P91" s="601">
        <f t="shared" si="7"/>
        <v>0</v>
      </c>
      <c r="Q91" s="601">
        <f t="shared" si="7"/>
        <v>3831.4285714285716</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0.77291074899088053</v>
      </c>
      <c r="C98" s="626">
        <f>IF(ISERROR(N58/(O58+N58)),0,N58/(N58+O58))</f>
        <v>0.22708925100911942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2.3601061444162053</v>
      </c>
      <c r="D101" s="635">
        <f t="shared" si="9"/>
        <v>0</v>
      </c>
      <c r="E101" s="635">
        <f t="shared" si="9"/>
        <v>0</v>
      </c>
      <c r="F101" s="635">
        <f t="shared" si="9"/>
        <v>0</v>
      </c>
      <c r="G101" s="635">
        <f t="shared" si="9"/>
        <v>0</v>
      </c>
      <c r="H101" s="635">
        <f t="shared" si="9"/>
        <v>6.8126775302735822</v>
      </c>
      <c r="I101" s="636">
        <f t="shared" si="9"/>
        <v>0</v>
      </c>
      <c r="J101" s="593"/>
      <c r="K101" s="593"/>
      <c r="L101" s="631"/>
      <c r="M101" s="631"/>
      <c r="N101" s="631"/>
      <c r="O101" s="618"/>
      <c r="P101" s="618"/>
    </row>
    <row r="102" spans="1:16" ht="15.75" thickBot="1">
      <c r="A102" s="637" t="s">
        <v>286</v>
      </c>
      <c r="B102" s="638">
        <f t="shared" ref="B102:I102" si="10">$B$98*P58</f>
        <v>0</v>
      </c>
      <c r="C102" s="638">
        <f t="shared" si="10"/>
        <v>8.0327509984409371</v>
      </c>
      <c r="D102" s="638">
        <f t="shared" si="10"/>
        <v>0</v>
      </c>
      <c r="E102" s="638">
        <f t="shared" si="10"/>
        <v>0</v>
      </c>
      <c r="F102" s="638">
        <f t="shared" si="10"/>
        <v>0</v>
      </c>
      <c r="G102" s="638">
        <f t="shared" si="10"/>
        <v>0</v>
      </c>
      <c r="H102" s="638">
        <f t="shared" si="10"/>
        <v>23.187322469726414</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2019-08-12T08:01:17Z</dcterms:modified>
</cp:coreProperties>
</file>