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10" s="1"/>
  <c r="B4"/>
  <c r="I102" l="1"/>
  <c r="H17" s="1"/>
  <c r="H20" s="1"/>
  <c r="B102"/>
  <c r="C17" s="1"/>
  <c r="C102"/>
  <c r="F102"/>
  <c r="G102"/>
  <c r="C98"/>
  <c r="B20"/>
  <c r="O19"/>
  <c r="C20"/>
  <c r="D102"/>
  <c r="H102"/>
  <c r="E101"/>
  <c r="E8" s="1"/>
  <c r="E10" s="1"/>
  <c r="E102"/>
  <c r="E17" s="1"/>
  <c r="E20" s="1"/>
  <c r="N6" i="17"/>
  <c r="I101" i="18" l="1"/>
  <c r="H8" s="1"/>
  <c r="H10" s="1"/>
  <c r="H101"/>
  <c r="J8" s="1"/>
  <c r="J10" s="1"/>
  <c r="F101"/>
  <c r="B101"/>
  <c r="C8" s="1"/>
  <c r="C10" s="1"/>
  <c r="C101"/>
  <c r="D101"/>
  <c r="G101"/>
  <c r="I17"/>
  <c r="I20" s="1"/>
  <c r="J17"/>
  <c r="J20" s="1"/>
  <c r="L6" i="17"/>
  <c r="F6"/>
  <c r="D6"/>
  <c r="C6"/>
  <c r="N16" i="16"/>
  <c r="L16"/>
  <c r="F16"/>
  <c r="D16"/>
  <c r="C16"/>
  <c r="B16"/>
  <c r="B13" i="15"/>
  <c r="I8" i="18" l="1"/>
  <c r="I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O8" i="18"/>
  <c r="O10" s="1"/>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24"/>
  <c r="D31"/>
  <c r="D32"/>
  <c r="L28"/>
  <c r="L29"/>
  <c r="L32"/>
  <c r="L27"/>
  <c r="L24"/>
  <c r="L31"/>
  <c r="L22"/>
  <c r="L30"/>
  <c r="P5"/>
  <c r="P23" s="1"/>
  <c r="Q10" i="14"/>
  <c r="K32" i="48"/>
  <c r="K28"/>
  <c r="K26"/>
  <c r="K31"/>
  <c r="K30"/>
  <c r="K25"/>
  <c r="K29"/>
  <c r="K24"/>
  <c r="K27"/>
  <c r="K22"/>
  <c r="C24" i="14"/>
  <c r="C26" s="1"/>
  <c r="B7" i="48"/>
  <c r="J29"/>
  <c r="J31"/>
  <c r="J32"/>
  <c r="J27"/>
  <c r="J28"/>
  <c r="J30"/>
  <c r="J24"/>
  <c r="P4"/>
  <c r="Q11" i="14"/>
  <c r="O4" i="48"/>
  <c r="P11" i="14"/>
  <c r="I29" i="48"/>
  <c r="I31"/>
  <c r="I26"/>
  <c r="I32"/>
  <c r="I25"/>
  <c r="I27"/>
  <c r="I24"/>
  <c r="I28"/>
  <c r="I22"/>
  <c r="I30"/>
  <c r="E11" i="14"/>
  <c r="D4" i="48"/>
  <c r="D22" s="1"/>
  <c r="H29"/>
  <c r="H26"/>
  <c r="H32"/>
  <c r="H25"/>
  <c r="H28"/>
  <c r="H24"/>
  <c r="H22"/>
  <c r="H30"/>
  <c r="H23"/>
  <c r="D11" i="14"/>
  <c r="C4" i="48"/>
  <c r="G32"/>
  <c r="G26"/>
  <c r="G30"/>
  <c r="G29"/>
  <c r="G24"/>
  <c r="G25"/>
  <c r="G22"/>
  <c r="G23"/>
  <c r="B4"/>
  <c r="C11" i="14"/>
  <c r="F32" i="48"/>
  <c r="F28"/>
  <c r="F29"/>
  <c r="F30"/>
  <c r="F31"/>
  <c r="F24"/>
  <c r="F27"/>
  <c r="N32"/>
  <c r="N31"/>
  <c r="N29"/>
  <c r="N28"/>
  <c r="N30"/>
  <c r="N24"/>
  <c r="N27"/>
  <c r="C19" i="14"/>
  <c r="B10" i="48"/>
  <c r="E32"/>
  <c r="E28"/>
  <c r="E29"/>
  <c r="E30"/>
  <c r="E31"/>
  <c r="E24"/>
  <c r="M29"/>
  <c r="M26"/>
  <c r="M25"/>
  <c r="M32"/>
  <c r="M24"/>
  <c r="M22"/>
  <c r="M30"/>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I18" i="14"/>
  <c r="H13" i="48"/>
  <c r="H31" s="1"/>
  <c r="K15"/>
  <c r="K23"/>
  <c r="E9"/>
  <c r="F20" i="14"/>
  <c r="F22" s="1"/>
  <c r="P22" i="16"/>
  <c r="Q43" i="14" s="1"/>
  <c r="P8" i="48"/>
  <c r="P26" s="1"/>
  <c r="Q13" i="14"/>
  <c r="Q16" s="1"/>
  <c r="Q27" s="1"/>
  <c r="D9" i="48"/>
  <c r="D27" s="1"/>
  <c r="E20" i="14"/>
  <c r="E22" s="1"/>
  <c r="B9" i="48"/>
  <c r="C20" i="14"/>
  <c r="O5" i="48"/>
  <c r="O23" s="1"/>
  <c r="P10" i="14"/>
  <c r="G11"/>
  <c r="F4" i="48"/>
  <c r="F22" s="1"/>
  <c r="K24" i="14"/>
  <c r="K26" s="1"/>
  <c r="J7" i="48"/>
  <c r="J25" s="1"/>
  <c r="P22"/>
  <c r="P33" s="1"/>
  <c r="J10" i="14"/>
  <c r="J16" s="1"/>
  <c r="J27" s="1"/>
  <c r="I5" i="48"/>
  <c r="M12" i="22"/>
  <c r="N18" i="14"/>
  <c r="M13" i="48"/>
  <c r="M31" s="1"/>
  <c r="O22"/>
  <c r="L63" i="14"/>
  <c r="K33"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O11" i="14"/>
  <c r="N4" i="48"/>
  <c r="N22" s="1"/>
  <c r="J4"/>
  <c r="K11" i="14"/>
  <c r="E27" i="48"/>
  <c r="M9"/>
  <c r="N20" i="14"/>
  <c r="G31" i="48"/>
  <c r="Q13"/>
  <c r="G9"/>
  <c r="H20" i="14"/>
  <c r="H22" s="1"/>
  <c r="H27" s="1"/>
  <c r="P13"/>
  <c r="P16" s="1"/>
  <c r="P27" s="1"/>
  <c r="O8" i="48"/>
  <c r="O26" s="1"/>
  <c r="O33" s="1"/>
  <c r="I23"/>
  <c r="I33" s="1"/>
  <c r="I15"/>
  <c r="M10"/>
  <c r="M28" s="1"/>
  <c r="N19" i="14"/>
  <c r="F24"/>
  <c r="F26" s="1"/>
  <c r="E7" i="48"/>
  <c r="E25" s="1"/>
  <c r="H19" i="14"/>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R22" l="1"/>
  <c r="H52"/>
  <c r="H61" s="1"/>
  <c r="H63" s="1"/>
  <c r="G28" i="48"/>
  <c r="Q10"/>
  <c r="E22"/>
  <c r="Q4"/>
  <c r="M27"/>
  <c r="M33" s="1"/>
  <c r="M15"/>
  <c r="I20" i="14"/>
  <c r="I22" s="1"/>
  <c r="I27" s="1"/>
  <c r="H9" i="48"/>
  <c r="E20" i="15"/>
  <c r="F40" i="14" s="1"/>
  <c r="E5" i="48"/>
  <c r="E23" s="1"/>
  <c r="F10" i="14"/>
  <c r="K10"/>
  <c r="J5" i="48"/>
  <c r="J23" s="1"/>
  <c r="G27"/>
  <c r="G33" s="1"/>
  <c r="G15"/>
  <c r="J22"/>
  <c r="N63" i="14"/>
  <c r="R11"/>
  <c r="E61"/>
  <c r="P63"/>
  <c r="R20"/>
  <c r="O15" i="48"/>
  <c r="M61" i="14"/>
  <c r="M27"/>
  <c r="E16"/>
  <c r="E27" s="1"/>
  <c r="E63"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E26" s="1"/>
  <c r="F13" i="14"/>
  <c r="J22" i="16"/>
  <c r="K43" i="14" s="1"/>
  <c r="K46" s="1"/>
  <c r="K61" s="1"/>
  <c r="K13"/>
  <c r="J8" i="48"/>
  <c r="F46" i="14"/>
  <c r="F61" s="1"/>
  <c r="E33" i="48"/>
  <c r="F16" i="14"/>
  <c r="F27"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E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<sst xmlns="http://schemas.openxmlformats.org/spreadsheetml/2006/main" count="2459" uniqueCount="929">
  <si>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</si>
  <si>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</si>
  <si>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</si>
  <si>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</si>
  <si>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</si>
  <si>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</si>
  <si>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</si>
  <si>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</si>
  <si>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</si>
  <si>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</si>
  <si>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</si>
  <si>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</si>
  <si>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</si>
  <si>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</si>
  <si>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</si>
  <si>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</si>
  <si>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</si>
  <si>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</si>
  <si>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</si>
  <si>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</si>
  <si>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</si>
  <si>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</si>
  <si>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</si>
  <si>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</si>
  <si>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</si>
  <si>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</si>
  <si>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</si>
  <si>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</si>
  <si>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</si>
  <si>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</si>
  <si>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</si>
  <si>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</si>
  <si>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</si>
  <si>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</si>
  <si>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</si>
  <si>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</si>
  <si>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</si>
  <si>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</si>
  <si>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</si>
  <si>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</si>
  <si>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</si>
  <si>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</si>
  <si>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</si>
  <si>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</si>
  <si>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</si>
  <si>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</si>
  <si>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</si>
  <si>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</si>
  <si>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</si>
  <si>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</si>
  <si>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</si>
  <si>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</si>
  <si>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</si>
  <si>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</si>
  <si>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</si>
  <si>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</si>
  <si>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</si>
  <si>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</si>
  <si>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</si>
  <si>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</si>
  <si>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</si>
  <si>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</si>
  <si>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</si>
  <si>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</si>
  <si>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</si>
  <si>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</si>
  <si>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</si>
  <si>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</si>
  <si>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</si>
  <si>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</si>
  <si>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</si>
  <si>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</si>
  <si>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</si>
  <si>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</si>
  <si>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</si>
  <si>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</si>
  <si>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</si>
  <si>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</si>
  <si>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</si>
  <si>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</si>
  <si>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</si>
  <si>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</si>
  <si>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</si>
  <si>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</si>
  <si>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</si>
  <si>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</si>
  <si>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</si>
  <si>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</si>
  <si>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</si>
  <si>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</si>
  <si>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</si>
  <si>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</si>
  <si>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</si>
  <si>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</si>
  <si>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</si>
  <si>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</si>
  <si>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</si>
  <si>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</si>
  <si>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</si>
  <si>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</si>
  <si>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</si>
  <si>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</si>
  <si>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</si>
  <si>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</si>
  <si>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</si>
  <si>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</si>
  <si>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</si>
  <si>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</si>
  <si>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</si>
  <si>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</si>
  <si>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</si>
  <si>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</si>
  <si>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</si>
  <si>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</si>
  <si>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</si>
  <si>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</si>
  <si>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</si>
  <si>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</si>
  <si>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</si>
  <si>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</si>
  <si>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</si>
  <si>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</si>
  <si>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</si>
  <si>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</si>
  <si>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</si>
  <si>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</si>
  <si>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</si>
  <si>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</si>
  <si>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</si>
  <si>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</si>
  <si>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</si>
  <si>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</si>
  <si>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</si>
  <si>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</si>
  <si>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</si>
  <si>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</si>
  <si>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</si>
  <si>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</si>
  <si>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</si>
  <si>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</si>
  <si>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</si>
  <si>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</si>
  <si>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</si>
  <si>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</si>
  <si>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</si>
  <si>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</si>
  <si>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</si>
  <si>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</si>
  <si>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</si>
  <si>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</si>
  <si>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</si>
  <si>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</si>
  <si>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</si>
  <si>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</si>
  <si>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</si>
  <si>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</si>
  <si>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</si>
  <si>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</si>
  <si>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</si>
  <si>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</si>
  <si>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</si>
  <si>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</si>
  <si>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</si>
  <si>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</si>
  <si>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</si>
  <si>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</si>
  <si>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</si>
  <si>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</si>
  <si>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</si>
  <si>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</si>
  <si>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</si>
  <si>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</si>
  <si>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</si>
  <si>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</si>
  <si>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</si>
  <si>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</si>
  <si>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</si>
  <si>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</si>
  <si>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</si>
  <si>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</si>
  <si>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</si>
  <si>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</si>
  <si>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</si>
  <si>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</si>
  <si>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</si>
  <si>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</si>
  <si>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</si>
  <si>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</si>
  <si>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</si>
  <si>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</si>
  <si>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</si>
  <si>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</si>
  <si>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</si>
  <si>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</si>
  <si>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</si>
  <si>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</si>
  <si>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</si>
  <si>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</si>
  <si>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</si>
  <si>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</si>
  <si>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</si>
  <si>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</si>
  <si>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</si>
  <si>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</si>
  <si>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</si>
  <si>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</si>
  <si>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</si>
  <si>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</si>
  <si>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</si>
  <si>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</si>
  <si>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</si>
  <si>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</si>
  <si>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</si>
  <si>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</si>
  <si>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</si>
  <si>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</si>
  <si>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</si>
  <si>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</si>
  <si>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</si>
  <si>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</si>
  <si>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</si>
  <si>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</si>
  <si>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</si>
  <si>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</si>
  <si>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</si>
  <si>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</si>
  <si>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</si>
  <si>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</si>
  <si>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</si>
  <si>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</si>
  <si>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</si>
  <si>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</si>
  <si>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</si>
  <si>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</si>
  <si>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</si>
  <si>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</si>
  <si>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</si>
  <si>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</si>
  <si>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</si>
  <si>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</si>
  <si>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</si>
  <si>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</si>
  <si>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</si>
  <si>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</si>
  <si>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</si>
  <si>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</si>
  <si>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</si>
  <si>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</si>
  <si>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</si>
  <si>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</si>
  <si>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</si>
  <si>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</si>
  <si>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</si>
  <si>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</si>
  <si>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</si>
  <si>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</si>
  <si>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</si>
  <si>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</si>
  <si>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</si>
  <si>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</si>
  <si>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</si>
  <si>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</si>
  <si>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</si>
  <si>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</si>
  <si>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</si>
  <si>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</si>
  <si>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</si>
  <si>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</si>
  <si>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</si>
  <si>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</si>
  <si>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</si>
  <si>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</si>
  <si>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</si>
  <si>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</si>
  <si>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</si>
  <si>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</si>
  <si>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</si>
  <si>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</si>
  <si>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</si>
  <si>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</si>
  <si>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</si>
  <si>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</si>
  <si>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</si>
  <si>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</si>
  <si>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</si>
  <si>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</si>
  <si>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</si>
  <si>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</si>
  <si>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</si>
  <si>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</si>
  <si>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</si>
  <si>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</si>
  <si>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</si>
  <si>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</si>
  <si>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</si>
  <si>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</si>
  <si>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</si>
  <si>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</si>
  <si>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</si>
  <si>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</si>
  <si>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</si>
  <si>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</si>
  <si>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</si>
  <si>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</si>
  <si>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</si>
  <si>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</si>
  <si>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</si>
  <si>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</si>
  <si>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</si>
  <si>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</si>
  <si>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</si>
  <si>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</si>
  <si>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</si>
  <si>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</si>
  <si>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</si>
  <si>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</si>
  <si>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</si>
  <si>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</si>
  <si>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</si>
  <si>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</si>
  <si>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</si>
  <si>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</si>
  <si>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</si>
  <si>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</si>
  <si>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</si>
  <si>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</si>
  <si>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</si>
  <si>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</si>
  <si>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</si>
  <si>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</si>
  <si>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</si>
  <si>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</si>
  <si>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</si>
  <si>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</si>
  <si>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</si>
  <si>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</si>
  <si>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</si>
  <si>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</si>
  <si>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</si>
  <si>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</si>
  <si>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</si>
  <si>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</si>
  <si>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</si>
  <si>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</si>
  <si>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</si>
  <si>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</si>
  <si>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</si>
  <si>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</si>
  <si>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</si>
  <si>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</si>
  <si>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</si>
  <si>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</si>
  <si>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</si>
  <si>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</si>
  <si>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</si>
  <si>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</si>
  <si>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</si>
  <si>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</si>
  <si>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</si>
  <si>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</si>
  <si>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</si>
  <si>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</si>
  <si>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</si>
  <si>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</si>
  <si>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</si>
  <si>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</si>
  <si>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</si>
  <si>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</si>
  <si>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</si>
  <si>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</si>
  <si>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</si>
  <si>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</si>
  <si>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</si>
  <si>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</si>
  <si>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</si>
  <si>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</si>
  <si>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</si>
  <si>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</si>
  <si>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</si>
  <si>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</si>
  <si>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</si>
  <si>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</si>
  <si>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</si>
  <si>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</si>
  <si>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</si>
  <si>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</si>
  <si>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</si>
  <si>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</si>
  <si>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</si>
  <si>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</si>
  <si>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</si>
  <si>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</si>
  <si>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</si>
  <si>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</si>
  <si>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</si>
  <si>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</si>
  <si>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</si>
  <si>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</si>
  <si>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</si>
  <si>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</si>
  <si>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</si>
  <si>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</si>
  <si>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</si>
  <si>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</si>
  <si>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</si>
  <si>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</si>
  <si>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</si>
  <si>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</si>
  <si>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</si>
  <si>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</si>
  <si>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</si>
  <si>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</si>
  <si>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</si>
  <si>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</si>
  <si>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</si>
  <si>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</si>
  <si>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</si>
  <si>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</si>
  <si>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</si>
  <si>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</si>
  <si>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</si>
  <si>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</si>
  <si>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</si>
  <si>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</si>
  <si>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</si>
  <si>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</si>
  <si>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</si>
  <si>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</si>
  <si>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</si>
  <si>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</si>
  <si>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</si>
  <si>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</si>
  <si>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</si>
  <si>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</si>
  <si>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</si>
  <si>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</si>
  <si>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</si>
  <si>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</si>
  <si>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</si>
  <si>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</si>
  <si>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</si>
  <si>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</si>
  <si>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</si>
  <si>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</si>
  <si>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</si>
  <si>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</si>
  <si>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</si>
  <si>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</si>
  <si>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</si>
  <si>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</si>
  <si>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</si>
  <si>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</si>
  <si>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</si>
  <si>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</si>
  <si>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</si>
  <si>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</si>
  <si>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</si>
  <si>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</si>
  <si>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</si>
  <si>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</si>
  <si>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</si>
  <si>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</si>
  <si>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</si>
  <si>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</si>
  <si>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</si>
  <si>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</si>
  <si>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</si>
  <si>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</si>
  <si>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</si>
  <si>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</si>
  <si>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</si>
  <si>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</si>
  <si>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</si>
  <si>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</si>
  <si>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</si>
  <si>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</si>
  <si>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</si>
  <si>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</si>
  <si>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</si>
  <si>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</si>
  <si>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</si>
  <si>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</si>
  <si>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</si>
  <si>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</si>
  <si>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</si>
  <si>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</si>
  <si>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</si>
  <si>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</si>
  <si>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</si>
  <si>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</si>
  <si>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</si>
  <si>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</si>
  <si>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</si>
  <si>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</si>
  <si>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</si>
  <si>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</si>
  <si>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</si>
  <si>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</si>
  <si>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</si>
  <si>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</si>
  <si>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</si>
  <si>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</si>
  <si>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</si>
  <si>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</si>
  <si>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</si>
  <si>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</si>
  <si>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</si>
  <si>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</si>
  <si>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</si>
  <si>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</si>
  <si>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</si>
  <si>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</si>
  <si>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</si>
  <si>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</si>
  <si>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</si>
  <si>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</si>
  <si>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</si>
  <si>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</si>
  <si>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</si>
  <si>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</si>
  <si>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</si>
  <si>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</si>
  <si>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</si>
  <si>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</si>
  <si>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</si>
  <si>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</si>
  <si>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</si>
  <si>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</si>
  <si>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</si>
  <si>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</si>
  <si>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</si>
  <si>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</si>
  <si>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</si>
  <si>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</si>
  <si>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</si>
  <si>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</si>
  <si>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</si>
  <si>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</si>
  <si>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</si>
  <si>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</si>
  <si>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</si>
  <si>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</si>
  <si>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</si>
  <si>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</si>
  <si>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</si>
  <si>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</si>
  <si>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</si>
  <si>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</si>
  <si>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</si>
  <si>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</si>
  <si>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</si>
  <si>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</si>
  <si>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</si>
  <si>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</si>
  <si>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</si>
  <si>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</si>
  <si>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</si>
  <si>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</si>
  <si>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</si>
  <si>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</si>
  <si>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</si>
  <si>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</si>
  <si>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</si>
  <si>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</si>
  <si>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</si>
  <si>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</si>
  <si>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</si>
  <si>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</si>
  <si>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</si>
  <si>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</si>
  <si>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</si>
  <si>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</si>
  <si>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</si>
  <si>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</si>
  <si>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</si>
  <si>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</si>
  <si>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</si>
  <si>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</si>
  <si>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</si>
  <si>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</si>
  <si>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</si>
  <si>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</si>
  <si>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</si>
  <si>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</si>
  <si>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</si>
  <si>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</si>
  <si>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</si>
  <si>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</si>
  <si>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</si>
  <si>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</si>
  <si>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</si>
  <si>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</si>
  <si>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</si>
  <si>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</si>
  <si>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</si>
  <si>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</si>
  <si>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</si>
  <si>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</si>
  <si>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</si>
  <si>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</si>
  <si>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</si>
  <si>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</si>
  <si>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</si>
  <si>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</si>
  <si>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</si>
  <si>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</si>
  <si>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</si>
  <si>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</si>
  <si>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</si>
  <si>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</si>
  <si>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</si>
  <si>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</si>
  <si>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</si>
  <si>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</si>
  <si>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</si>
  <si>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</si>
  <si>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</si>
  <si>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</si>
  <si>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</si>
  <si>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</si>
  <si>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</si>
  <si>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</si>
  <si>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</si>
  <si>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</si>
  <si>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</si>
  <si>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</si>
  <si>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</si>
  <si>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</si>
  <si>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</si>
  <si>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</si>
  <si>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</si>
  <si>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</si>
  <si>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</si>
  <si>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</si>
  <si>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</si>
  <si>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</si>
  <si>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</si>
  <si>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</si>
  <si>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</si>
  <si>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</si>
  <si>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</si>
  <si>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</si>
  <si>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</si>
  <si>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</si>
  <si>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</si>
  <si>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</si>
  <si>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</si>
  <si>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</si>
  <si>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</si>
  <si>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</si>
  <si>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</si>
  <si>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</si>
  <si>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</si>
  <si>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</si>
  <si>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</si>
  <si>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</si>
  <si>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</si>
  <si>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</si>
  <si>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</si>
  <si>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</si>
  <si>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</si>
  <si>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</si>
  <si>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</si>
  <si>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</si>
  <si>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</si>
  <si>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</si>
  <si>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</si>
  <si>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</si>
  <si>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</si>
  <si>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</si>
  <si>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</si>
  <si>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</si>
  <si>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</si>
  <si>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</si>
  <si>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</si>
  <si>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</si>
  <si>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</si>
  <si>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</si>
  <si>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</si>
  <si>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</si>
  <si>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</si>
  <si>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</si>
  <si>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</si>
  <si>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</si>
  <si>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</si>
  <si>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</si>
  <si>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</si>
  <si>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</si>
  <si>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</si>
  <si>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</si>
  <si>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</si>
  <si>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</si>
  <si>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</si>
  <si>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</si>
  <si>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</si>
  <si>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</si>
  <si>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</si>
  <si>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</si>
  <si>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</si>
  <si>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</si>
  <si>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</si>
  <si>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</si>
  <si>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</si>
  <si>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</si>
  <si>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</si>
  <si>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</si>
  <si>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</si>
  <si>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</si>
  <si>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</si>
  <si>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</si>
  <si>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</si>
  <si>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</si>
  <si>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</si>
  <si>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</si>
  <si>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</si>
  <si>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</si>
  <si>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</si>
  <si>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</si>
  <si>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</si>
  <si>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</si>
  <si>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</si>
  <si>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</si>
  <si>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</si>
  <si>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</si>
  <si>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</si>
  <si>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</si>
  <si>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</si>
  <si>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</si>
  <si>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</si>
  <si>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</si>
  <si>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</si>
  <si>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</si>
  <si>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</si>
  <si>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</si>
  <si>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</si>
  <si>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</si>
  <si>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</si>
  <si>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</si>
  <si>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</si>
  <si>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</si>
  <si>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</si>
  <si>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</si>
  <si>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</si>
  <si>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</si>
  <si>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</si>
  <si>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</si>
  <si>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</si>
  <si>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</si>
  <si>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</si>
  <si>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</si>
  <si>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</si>
  <si>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</si>
  <si>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</si>
  <si>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</si>
  <si>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</si>
  <si>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</si>
  <si>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</si>
  <si>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</si>
  <si>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</si>
  <si>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</si>
  <si>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</si>
  <si>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</si>
  <si>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</si>
  <si>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</si>
  <si>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</si>
  <si>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</si>
  <si>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</si>
  <si>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</si>
  <si>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</si>
  <si>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</si>
  <si>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</si>
  <si>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</si>
  <si>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</si>
  <si>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</si>
  <si>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</si>
  <si>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</si>
  <si>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</si>
  <si>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</si>
  <si>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</si>
  <si>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</si>
  <si>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</si>
  <si>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</si>
  <si>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</si>
  <si>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</si>
  <si>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</si>
  <si>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</si>
  <si>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</si>
  <si>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</si>
  <si>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</si>
  <si>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</si>
  <si>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</si>
  <si>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</si>
  <si>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</si>
  <si>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</si>
  <si>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</si>
  <si>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</si>
  <si>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</si>
  <si>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</si>
  <si>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</si>
  <si>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</si>
  <si>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</si>
  <si>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</si>
  <si>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</si>
  <si>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</si>
  <si>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</si>
  <si>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</si>
  <si>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</si>
  <si>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</si>
  <si>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</si>
  <si>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</si>
  <si>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</si>
  <si>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</si>
  <si>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</si>
  <si>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</si>
  <si>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</si>
  <si>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</si>
  <si>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</si>
  <si>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</si>
  <si>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</si>
  <si>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</si>
  <si>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</si>
  <si>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</si>
  <si>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</si>
  <si>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</si>
  <si>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</si>
  <si>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</si>
  <si>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</si>
  <si>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</si>
  <si>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</si>
  <si>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</si>
  <si>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</si>
  <si>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</si>
  <si>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</si>
  <si>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</si>
  <si>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</si>
  <si>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</si>
  <si>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</si>
  <si>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</si>
  <si>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</si>
  <si>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</si>
  <si>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</si>
  <si>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</si>
  <si>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</si>
  <si>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</si>
  <si>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</si>
  <si>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</si>
  <si>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</si>
  <si>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</si>
  <si>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</si>
  <si>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</si>
  <si>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</si>
  <si>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</si>
  <si>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</si>
  <si>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</si>
  <si>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</si>
  <si>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</si>
  <si>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</si>
  <si>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</si>
  <si>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</si>
  <si>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</si>
  <si>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</si>
  <si>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</si>
  <si>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</si>
  <si>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</si>
  <si>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</si>
  <si>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</si>
  <si>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</si>
  <si>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</si>
  <si>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</si>
  <si>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</si>
  <si>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</si>
  <si>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</si>
  <si>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</si>
  <si>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</si>
  <si>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</si>
  <si>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</si>
  <si>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</si>
  <si>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</si>
  <si>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</si>
  <si>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</si>
  <si>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</si>
  <si>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</si>
  <si>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</si>
  <si>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</si>
  <si>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</si>
  <si>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</si>
  <si>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</si>
  <si>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</si>
  <si>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</si>
  <si>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</si>
  <si>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</si>
  <si>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</si>
  <si>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</si>
  <si>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</si>
  <si>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</si>
  <si>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</si>
  <si>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</si>
  <si>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</si>
  <si>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</si>
  <si>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</si>
  <si>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</si>
  <si>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</si>
  <si>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</si>
  <si>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</si>
  <si>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</si>
  <si>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</si>
  <si>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13011</t>
  </si>
  <si>
    <t>HERENTALS</t>
  </si>
  <si>
    <t>Cultuurgrond (ha)</t>
  </si>
  <si>
    <t>Paarden&amp;pony's 200 - 600 kg</t>
  </si>
  <si>
    <t>Paarden&amp;pony's &lt; 200 kg</t>
  </si>
  <si>
    <t>op basis van VEA (maart 2018) en Inventaris Hernieuwbare Energiebronnen (juni 2018)</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</si>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</sst>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242691.67753477037</c:v>
                </c:pt>
                <c:pt idx="1">
                  <c:v>163053.9108019337</c:v>
                </c:pt>
                <c:pt idx="2">
                  <c:v>1366.548</c:v>
                </c:pt>
                <c:pt idx="3">
                  <c:v>38705.446580877877</c:v>
                </c:pt>
                <c:pt idx="4">
                  <c:v>263258.9355545087</c:v>
                </c:pt>
                <c:pt idx="5">
                  <c:v>214855.83771614809</c:v>
                </c:pt>
                <c:pt idx="6">
                  <c:v>2441.0266779841095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242691.67753477037</c:v>
                </c:pt>
                <c:pt idx="1">
                  <c:v>163053.9108019337</c:v>
                </c:pt>
                <c:pt idx="2">
                  <c:v>1366.548</c:v>
                </c:pt>
                <c:pt idx="3">
                  <c:v>38705.446580877877</c:v>
                </c:pt>
                <c:pt idx="4">
                  <c:v>263258.9355545087</c:v>
                </c:pt>
                <c:pt idx="5">
                  <c:v>214855.83771614809</c:v>
                </c:pt>
                <c:pt idx="6">
                  <c:v>2441.0266779841095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42499.57480832639</c:v>
                </c:pt>
                <c:pt idx="2">
                  <c:v>33805.821447768685</c:v>
                </c:pt>
                <c:pt idx="3">
                  <c:v>291.11474262520943</c:v>
                </c:pt>
                <c:pt idx="4">
                  <c:v>9326.6141412079141</c:v>
                </c:pt>
                <c:pt idx="5">
                  <c:v>52509.022653859065</c:v>
                </c:pt>
                <c:pt idx="6">
                  <c:v>54322.344667856079</c:v>
                </c:pt>
                <c:pt idx="7">
                  <c:v>624.00317554565481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42499.57480832639</c:v>
                </c:pt>
                <c:pt idx="2">
                  <c:v>33805.821447768685</c:v>
                </c:pt>
                <c:pt idx="3">
                  <c:v>291.11474262520943</c:v>
                </c:pt>
                <c:pt idx="4">
                  <c:v>9326.6141412079141</c:v>
                </c:pt>
                <c:pt idx="5">
                  <c:v>52509.022653859065</c:v>
                </c:pt>
                <c:pt idx="6">
                  <c:v>54322.344667856079</c:v>
                </c:pt>
                <c:pt idx="7">
                  <c:v>624.00317554565481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13011</v>
      </c>
      <c r="B6" s="398"/>
      <c r="C6" s="399"/>
    </row>
    <row r="7" spans="1:7" s="396" customFormat="1" ht="15.75" customHeight="1">
      <c r="A7" s="400" t="str">
        <f>txtMunicipality</f>
        <v>HERENTALS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0.21302928446363348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0.21302928446363348</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11912</v>
      </c>
      <c r="C9" s="338">
        <v>12306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1517</v>
      </c>
    </row>
    <row r="15" spans="1:6">
      <c r="A15" s="1295" t="s">
        <v>184</v>
      </c>
      <c r="B15" s="335">
        <v>1638</v>
      </c>
    </row>
    <row r="16" spans="1:6">
      <c r="A16" s="1295" t="s">
        <v>6</v>
      </c>
      <c r="B16" s="335">
        <v>554</v>
      </c>
    </row>
    <row r="17" spans="1:6">
      <c r="A17" s="1295" t="s">
        <v>7</v>
      </c>
      <c r="B17" s="335">
        <v>129</v>
      </c>
    </row>
    <row r="18" spans="1:6">
      <c r="A18" s="1295" t="s">
        <v>8</v>
      </c>
      <c r="B18" s="335">
        <v>356</v>
      </c>
    </row>
    <row r="19" spans="1:6">
      <c r="A19" s="1295" t="s">
        <v>9</v>
      </c>
      <c r="B19" s="335">
        <v>310</v>
      </c>
    </row>
    <row r="20" spans="1:6">
      <c r="A20" s="1295" t="s">
        <v>10</v>
      </c>
      <c r="B20" s="335">
        <v>188</v>
      </c>
    </row>
    <row r="21" spans="1:6">
      <c r="A21" s="1295" t="s">
        <v>11</v>
      </c>
      <c r="B21" s="335">
        <v>1283</v>
      </c>
    </row>
    <row r="22" spans="1:6">
      <c r="A22" s="1295" t="s">
        <v>12</v>
      </c>
      <c r="B22" s="335">
        <v>5279</v>
      </c>
    </row>
    <row r="23" spans="1:6">
      <c r="A23" s="1295" t="s">
        <v>13</v>
      </c>
      <c r="B23" s="335">
        <v>61</v>
      </c>
    </row>
    <row r="24" spans="1:6">
      <c r="A24" s="1295" t="s">
        <v>14</v>
      </c>
      <c r="B24" s="335">
        <v>1</v>
      </c>
    </row>
    <row r="25" spans="1:6">
      <c r="A25" s="1295" t="s">
        <v>15</v>
      </c>
      <c r="B25" s="335">
        <v>294</v>
      </c>
    </row>
    <row r="26" spans="1:6">
      <c r="A26" s="1295" t="s">
        <v>16</v>
      </c>
      <c r="B26" s="335">
        <v>36</v>
      </c>
    </row>
    <row r="27" spans="1:6">
      <c r="A27" s="1295" t="s">
        <v>17</v>
      </c>
      <c r="B27" s="335">
        <v>0</v>
      </c>
    </row>
    <row r="28" spans="1:6" s="341" customFormat="1">
      <c r="A28" s="1296" t="s">
        <v>18</v>
      </c>
      <c r="B28" s="1296">
        <v>119994</v>
      </c>
    </row>
    <row r="29" spans="1:6">
      <c r="A29" s="1296" t="s">
        <v>909</v>
      </c>
      <c r="B29" s="1296">
        <v>259</v>
      </c>
      <c r="C29" s="341"/>
      <c r="D29" s="341"/>
      <c r="E29" s="341"/>
      <c r="F29" s="341"/>
    </row>
    <row r="30" spans="1:6">
      <c r="A30" s="1291" t="s">
        <v>910</v>
      </c>
      <c r="B30" s="1291">
        <v>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6</v>
      </c>
      <c r="F35" s="335">
        <v>24468.116171069501</v>
      </c>
    </row>
    <row r="36" spans="1:6">
      <c r="A36" s="1295" t="s">
        <v>25</v>
      </c>
      <c r="B36" s="1295" t="s">
        <v>27</v>
      </c>
      <c r="C36" s="335">
        <v>5</v>
      </c>
      <c r="D36" s="335">
        <v>784978.03784674895</v>
      </c>
      <c r="E36" s="335">
        <v>10</v>
      </c>
      <c r="F36" s="335">
        <v>117090.63026188</v>
      </c>
    </row>
    <row r="37" spans="1:6">
      <c r="A37" s="1295" t="s">
        <v>25</v>
      </c>
      <c r="B37" s="1295" t="s">
        <v>28</v>
      </c>
      <c r="C37" s="335">
        <v>0</v>
      </c>
      <c r="D37" s="335">
        <v>0</v>
      </c>
      <c r="E37" s="335">
        <v>0</v>
      </c>
      <c r="F37" s="335">
        <v>0</v>
      </c>
    </row>
    <row r="38" spans="1:6">
      <c r="A38" s="1295" t="s">
        <v>25</v>
      </c>
      <c r="B38" s="1295" t="s">
        <v>29</v>
      </c>
      <c r="C38" s="335">
        <v>1</v>
      </c>
      <c r="D38" s="335">
        <v>2510.9725101334998</v>
      </c>
      <c r="E38" s="335">
        <v>2</v>
      </c>
      <c r="F38" s="335">
        <v>2802.5926512743999</v>
      </c>
    </row>
    <row r="39" spans="1:6">
      <c r="A39" s="1295" t="s">
        <v>30</v>
      </c>
      <c r="B39" s="1295" t="s">
        <v>31</v>
      </c>
      <c r="C39" s="335">
        <v>9529</v>
      </c>
      <c r="D39" s="335">
        <v>169298460.24308401</v>
      </c>
      <c r="E39" s="335">
        <v>12042</v>
      </c>
      <c r="F39" s="335">
        <v>41513028.746583298</v>
      </c>
    </row>
    <row r="40" spans="1:6">
      <c r="A40" s="1295" t="s">
        <v>30</v>
      </c>
      <c r="B40" s="1295" t="s">
        <v>29</v>
      </c>
      <c r="C40" s="335">
        <v>0</v>
      </c>
      <c r="D40" s="335">
        <v>0</v>
      </c>
      <c r="E40" s="335">
        <v>0</v>
      </c>
      <c r="F40" s="335">
        <v>0</v>
      </c>
    </row>
    <row r="41" spans="1:6">
      <c r="A41" s="1295" t="s">
        <v>32</v>
      </c>
      <c r="B41" s="1295" t="s">
        <v>33</v>
      </c>
      <c r="C41" s="335">
        <v>123</v>
      </c>
      <c r="D41" s="335">
        <v>5564745.2469976097</v>
      </c>
      <c r="E41" s="335">
        <v>241</v>
      </c>
      <c r="F41" s="335">
        <v>11920412.7076074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14</v>
      </c>
      <c r="D44" s="335">
        <v>1912556.21250764</v>
      </c>
      <c r="E44" s="335">
        <v>38</v>
      </c>
      <c r="F44" s="335">
        <v>24463964.429652501</v>
      </c>
    </row>
    <row r="45" spans="1:6">
      <c r="A45" s="1295" t="s">
        <v>32</v>
      </c>
      <c r="B45" s="1295" t="s">
        <v>37</v>
      </c>
      <c r="C45" s="335">
        <v>0</v>
      </c>
      <c r="D45" s="335">
        <v>0</v>
      </c>
      <c r="E45" s="335">
        <v>3</v>
      </c>
      <c r="F45" s="335">
        <v>207117.93739776101</v>
      </c>
    </row>
    <row r="46" spans="1:6">
      <c r="A46" s="1295" t="s">
        <v>32</v>
      </c>
      <c r="B46" s="1295" t="s">
        <v>38</v>
      </c>
      <c r="C46" s="335">
        <v>0</v>
      </c>
      <c r="D46" s="335">
        <v>0</v>
      </c>
      <c r="E46" s="335">
        <v>0</v>
      </c>
      <c r="F46" s="335">
        <v>0</v>
      </c>
    </row>
    <row r="47" spans="1:6">
      <c r="A47" s="1295" t="s">
        <v>32</v>
      </c>
      <c r="B47" s="1295" t="s">
        <v>39</v>
      </c>
      <c r="C47" s="335">
        <v>9</v>
      </c>
      <c r="D47" s="335">
        <v>866989.70374528505</v>
      </c>
      <c r="E47" s="335">
        <v>12</v>
      </c>
      <c r="F47" s="335">
        <v>1640063.9211104901</v>
      </c>
    </row>
    <row r="48" spans="1:6">
      <c r="A48" s="1295" t="s">
        <v>32</v>
      </c>
      <c r="B48" s="1295" t="s">
        <v>29</v>
      </c>
      <c r="C48" s="335">
        <v>44</v>
      </c>
      <c r="D48" s="335">
        <v>58275573.607310601</v>
      </c>
      <c r="E48" s="335">
        <v>50</v>
      </c>
      <c r="F48" s="335">
        <v>73874124.898105502</v>
      </c>
    </row>
    <row r="49" spans="1:6">
      <c r="A49" s="1295" t="s">
        <v>32</v>
      </c>
      <c r="B49" s="1295" t="s">
        <v>40</v>
      </c>
      <c r="C49" s="335">
        <v>0</v>
      </c>
      <c r="D49" s="335">
        <v>0</v>
      </c>
      <c r="E49" s="335">
        <v>0</v>
      </c>
      <c r="F49" s="335">
        <v>0</v>
      </c>
    </row>
    <row r="50" spans="1:6">
      <c r="A50" s="1295" t="s">
        <v>32</v>
      </c>
      <c r="B50" s="1295" t="s">
        <v>41</v>
      </c>
      <c r="C50" s="335">
        <v>26</v>
      </c>
      <c r="D50" s="335">
        <v>10895337.911466001</v>
      </c>
      <c r="E50" s="335">
        <v>31</v>
      </c>
      <c r="F50" s="335">
        <v>6555557.6032340098</v>
      </c>
    </row>
    <row r="51" spans="1:6">
      <c r="A51" s="1295" t="s">
        <v>42</v>
      </c>
      <c r="B51" s="1295" t="s">
        <v>43</v>
      </c>
      <c r="C51" s="335">
        <v>0</v>
      </c>
      <c r="D51" s="335">
        <v>0</v>
      </c>
      <c r="E51" s="335">
        <v>74</v>
      </c>
      <c r="F51" s="335">
        <v>1241017.2681543599</v>
      </c>
    </row>
    <row r="52" spans="1:6">
      <c r="A52" s="1295" t="s">
        <v>42</v>
      </c>
      <c r="B52" s="1295" t="s">
        <v>29</v>
      </c>
      <c r="C52" s="335">
        <v>12</v>
      </c>
      <c r="D52" s="335">
        <v>62660861.332367398</v>
      </c>
      <c r="E52" s="335">
        <v>6</v>
      </c>
      <c r="F52" s="335">
        <v>124404.304239003</v>
      </c>
    </row>
    <row r="53" spans="1:6">
      <c r="A53" s="1295" t="s">
        <v>44</v>
      </c>
      <c r="B53" s="1295" t="s">
        <v>45</v>
      </c>
      <c r="C53" s="335">
        <v>201</v>
      </c>
      <c r="D53" s="335">
        <v>5330119.4517236901</v>
      </c>
      <c r="E53" s="335">
        <v>414</v>
      </c>
      <c r="F53" s="335">
        <v>1464545.1256754401</v>
      </c>
    </row>
    <row r="54" spans="1:6">
      <c r="A54" s="1295" t="s">
        <v>46</v>
      </c>
      <c r="B54" s="1295" t="s">
        <v>47</v>
      </c>
      <c r="C54" s="335">
        <v>0</v>
      </c>
      <c r="D54" s="335">
        <v>0</v>
      </c>
      <c r="E54" s="335">
        <v>1</v>
      </c>
      <c r="F54" s="335">
        <v>1366548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68</v>
      </c>
      <c r="D57" s="335">
        <v>9696399.4007897601</v>
      </c>
      <c r="E57" s="335">
        <v>115</v>
      </c>
      <c r="F57" s="335">
        <v>8392772.9996689204</v>
      </c>
    </row>
    <row r="58" spans="1:6">
      <c r="A58" s="1295" t="s">
        <v>49</v>
      </c>
      <c r="B58" s="1295" t="s">
        <v>51</v>
      </c>
      <c r="C58" s="335">
        <v>62</v>
      </c>
      <c r="D58" s="335">
        <v>7929163.50632127</v>
      </c>
      <c r="E58" s="335">
        <v>80</v>
      </c>
      <c r="F58" s="335">
        <v>2321271.0648359102</v>
      </c>
    </row>
    <row r="59" spans="1:6">
      <c r="A59" s="1295" t="s">
        <v>49</v>
      </c>
      <c r="B59" s="1295" t="s">
        <v>52</v>
      </c>
      <c r="C59" s="335">
        <v>262</v>
      </c>
      <c r="D59" s="335">
        <v>21925244.763843499</v>
      </c>
      <c r="E59" s="335">
        <v>466</v>
      </c>
      <c r="F59" s="335">
        <v>23749935.001294099</v>
      </c>
    </row>
    <row r="60" spans="1:6">
      <c r="A60" s="1295" t="s">
        <v>49</v>
      </c>
      <c r="B60" s="1295" t="s">
        <v>53</v>
      </c>
      <c r="C60" s="335">
        <v>123</v>
      </c>
      <c r="D60" s="335">
        <v>6608206.2183184698</v>
      </c>
      <c r="E60" s="335">
        <v>151</v>
      </c>
      <c r="F60" s="335">
        <v>4192978.1141101001</v>
      </c>
    </row>
    <row r="61" spans="1:6">
      <c r="A61" s="1295" t="s">
        <v>49</v>
      </c>
      <c r="B61" s="1295" t="s">
        <v>54</v>
      </c>
      <c r="C61" s="335">
        <v>319</v>
      </c>
      <c r="D61" s="335">
        <v>17915332.883430898</v>
      </c>
      <c r="E61" s="335">
        <v>680</v>
      </c>
      <c r="F61" s="335">
        <v>20915379.077386901</v>
      </c>
    </row>
    <row r="62" spans="1:6">
      <c r="A62" s="1295" t="s">
        <v>49</v>
      </c>
      <c r="B62" s="1295" t="s">
        <v>55</v>
      </c>
      <c r="C62" s="335">
        <v>33</v>
      </c>
      <c r="D62" s="335">
        <v>6844867.0105237598</v>
      </c>
      <c r="E62" s="335">
        <v>33</v>
      </c>
      <c r="F62" s="335">
        <v>2983549.6053476599</v>
      </c>
    </row>
    <row r="63" spans="1:6">
      <c r="A63" s="1295" t="s">
        <v>49</v>
      </c>
      <c r="B63" s="1295" t="s">
        <v>29</v>
      </c>
      <c r="C63" s="335">
        <v>102</v>
      </c>
      <c r="D63" s="335">
        <v>9928116.3234476503</v>
      </c>
      <c r="E63" s="335">
        <v>105</v>
      </c>
      <c r="F63" s="335">
        <v>7710147.2251014598</v>
      </c>
    </row>
    <row r="64" spans="1:6">
      <c r="A64" s="1295" t="s">
        <v>56</v>
      </c>
      <c r="B64" s="1295" t="s">
        <v>57</v>
      </c>
      <c r="C64" s="335">
        <v>0</v>
      </c>
      <c r="D64" s="335">
        <v>0</v>
      </c>
      <c r="E64" s="335">
        <v>0</v>
      </c>
      <c r="F64" s="335">
        <v>0</v>
      </c>
    </row>
    <row r="65" spans="1:6">
      <c r="A65" s="1295" t="s">
        <v>56</v>
      </c>
      <c r="B65" s="1295" t="s">
        <v>29</v>
      </c>
      <c r="C65" s="335">
        <v>1</v>
      </c>
      <c r="D65" s="335">
        <v>27101.210052258801</v>
      </c>
      <c r="E65" s="335">
        <v>3</v>
      </c>
      <c r="F65" s="335">
        <v>105587.15663581299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11</v>
      </c>
      <c r="D68" s="335">
        <v>535408.84298288904</v>
      </c>
      <c r="E68" s="335">
        <v>29</v>
      </c>
      <c r="F68" s="335">
        <v>574786.71209902002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114378801</v>
      </c>
      <c r="E73" s="335">
        <v>117996600.51896253</v>
      </c>
    </row>
    <row r="74" spans="1:6">
      <c r="A74" s="1295" t="s">
        <v>64</v>
      </c>
      <c r="B74" s="1295" t="s">
        <v>727</v>
      </c>
      <c r="C74" s="1295" t="s">
        <v>728</v>
      </c>
      <c r="D74" s="335">
        <v>7674186.9303143751</v>
      </c>
      <c r="E74" s="335">
        <v>7894413.4702297682</v>
      </c>
    </row>
    <row r="75" spans="1:6">
      <c r="A75" s="1295" t="s">
        <v>65</v>
      </c>
      <c r="B75" s="1295" t="s">
        <v>725</v>
      </c>
      <c r="C75" s="1295" t="s">
        <v>729</v>
      </c>
      <c r="D75" s="335">
        <v>31098275</v>
      </c>
      <c r="E75" s="335">
        <v>32180101.751689337</v>
      </c>
    </row>
    <row r="76" spans="1:6">
      <c r="A76" s="1295" t="s">
        <v>65</v>
      </c>
      <c r="B76" s="1295" t="s">
        <v>727</v>
      </c>
      <c r="C76" s="1295" t="s">
        <v>730</v>
      </c>
      <c r="D76" s="335">
        <v>1459435.9303143753</v>
      </c>
      <c r="E76" s="335">
        <v>1514764.1707825686</v>
      </c>
    </row>
    <row r="77" spans="1:6">
      <c r="A77" s="1295" t="s">
        <v>66</v>
      </c>
      <c r="B77" s="1295" t="s">
        <v>725</v>
      </c>
      <c r="C77" s="1295" t="s">
        <v>731</v>
      </c>
      <c r="D77" s="335">
        <v>82470447</v>
      </c>
      <c r="E77" s="335">
        <v>91859423.202845797</v>
      </c>
    </row>
    <row r="78" spans="1:6">
      <c r="A78" s="1291" t="s">
        <v>66</v>
      </c>
      <c r="B78" s="1291" t="s">
        <v>727</v>
      </c>
      <c r="C78" s="1291" t="s">
        <v>732</v>
      </c>
      <c r="D78" s="1291">
        <v>14502553</v>
      </c>
      <c r="E78" s="1291">
        <v>15804948.696965352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644890.13937124924</v>
      </c>
      <c r="C83" s="335">
        <v>637109.47332504392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3966.3690000000001</v>
      </c>
    </row>
    <row r="92" spans="1:6">
      <c r="A92" s="1291" t="s">
        <v>69</v>
      </c>
      <c r="B92" s="338">
        <v>5521.8130000000001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6292</v>
      </c>
    </row>
    <row r="98" spans="1:6">
      <c r="A98" s="1295" t="s">
        <v>72</v>
      </c>
      <c r="B98" s="335">
        <v>7</v>
      </c>
    </row>
    <row r="99" spans="1:6">
      <c r="A99" s="1295" t="s">
        <v>73</v>
      </c>
      <c r="B99" s="335">
        <v>107</v>
      </c>
    </row>
    <row r="100" spans="1:6">
      <c r="A100" s="1295" t="s">
        <v>74</v>
      </c>
      <c r="B100" s="335">
        <v>383</v>
      </c>
    </row>
    <row r="101" spans="1:6">
      <c r="A101" s="1295" t="s">
        <v>75</v>
      </c>
      <c r="B101" s="335">
        <v>115</v>
      </c>
    </row>
    <row r="102" spans="1:6">
      <c r="A102" s="1295" t="s">
        <v>76</v>
      </c>
      <c r="B102" s="335">
        <v>106</v>
      </c>
    </row>
    <row r="103" spans="1:6">
      <c r="A103" s="1295" t="s">
        <v>77</v>
      </c>
      <c r="B103" s="335">
        <v>207</v>
      </c>
    </row>
    <row r="104" spans="1:6">
      <c r="A104" s="1295" t="s">
        <v>78</v>
      </c>
      <c r="B104" s="335">
        <v>2932</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2</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19</v>
      </c>
      <c r="C123" s="335">
        <v>21</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183</v>
      </c>
    </row>
    <row r="130" spans="1:6">
      <c r="A130" s="1295" t="s">
        <v>295</v>
      </c>
      <c r="B130" s="335">
        <v>1</v>
      </c>
    </row>
    <row r="131" spans="1:6">
      <c r="A131" s="1295" t="s">
        <v>296</v>
      </c>
      <c r="B131" s="335">
        <v>9</v>
      </c>
    </row>
    <row r="132" spans="1:6">
      <c r="A132" s="1291" t="s">
        <v>297</v>
      </c>
      <c r="B132" s="338">
        <v>15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239883.13386374005</v>
      </c>
      <c r="C3" s="43" t="s">
        <v>170</v>
      </c>
      <c r="D3" s="43"/>
      <c r="E3" s="156"/>
      <c r="F3" s="43"/>
      <c r="G3" s="43"/>
      <c r="H3" s="43"/>
      <c r="I3" s="43"/>
      <c r="J3" s="43"/>
      <c r="K3" s="96"/>
    </row>
    <row r="4" spans="1:11">
      <c r="A4" s="366" t="s">
        <v>171</v>
      </c>
      <c r="B4" s="49">
        <f>IF(ISERROR('SEAP template'!B78+'SEAP template'!C78),0,'SEAP template'!B78+'SEAP template'!C78)</f>
        <v>33440.182000000001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5478.2400000000007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0.21302928446363348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7826.0571428571438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32931.428571428572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1366.548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1366.548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0.21302928446363348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291.11474262520943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41513.028746583295</v>
      </c>
      <c r="C5" s="17">
        <f>IF(ISERROR('Eigen informatie GS &amp; warmtenet'!B57),0,'Eigen informatie GS &amp; warmtenet'!B57)</f>
        <v>0</v>
      </c>
      <c r="D5" s="30">
        <f>(SUM(HH_hh_gas_kWh,HH_rest_gas_kWh)/1000)*0.902</f>
        <v>152707.21113926178</v>
      </c>
      <c r="E5" s="17">
        <f>B46*B57</f>
        <v>8653.1920634532471</v>
      </c>
      <c r="F5" s="17">
        <f>B51*B62</f>
        <v>0</v>
      </c>
      <c r="G5" s="18"/>
      <c r="H5" s="17"/>
      <c r="I5" s="17"/>
      <c r="J5" s="17">
        <f>B50*B61+C50*C61</f>
        <v>0</v>
      </c>
      <c r="K5" s="17"/>
      <c r="L5" s="17"/>
      <c r="M5" s="17"/>
      <c r="N5" s="17">
        <f>B48*B59+C48*C59</f>
        <v>34865.623252138677</v>
      </c>
      <c r="O5" s="17">
        <f>B69*B70*B71</f>
        <v>318.92</v>
      </c>
      <c r="P5" s="17">
        <f>B77*B78*B79/1000-B77*B78*B79/1000/B80</f>
        <v>667.33333333333337</v>
      </c>
    </row>
    <row r="6" spans="1:16">
      <c r="A6" s="16" t="s">
        <v>634</v>
      </c>
      <c r="B6" s="783">
        <f>kWh_PV_kleiner_dan_10kW</f>
        <v>3966.3690000000001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45479.397746583294</v>
      </c>
      <c r="C8" s="21">
        <f>C5</f>
        <v>0</v>
      </c>
      <c r="D8" s="21">
        <f>D5</f>
        <v>152707.21113926178</v>
      </c>
      <c r="E8" s="21">
        <f>E5</f>
        <v>8653.1920634532471</v>
      </c>
      <c r="F8" s="21">
        <f>F5</f>
        <v>0</v>
      </c>
      <c r="G8" s="21"/>
      <c r="H8" s="21"/>
      <c r="I8" s="21"/>
      <c r="J8" s="21">
        <f>J5</f>
        <v>0</v>
      </c>
      <c r="K8" s="21"/>
      <c r="L8" s="21">
        <f>L5</f>
        <v>0</v>
      </c>
      <c r="M8" s="21">
        <f>M5</f>
        <v>0</v>
      </c>
      <c r="N8" s="21">
        <f>N5</f>
        <v>34865.623252138677</v>
      </c>
      <c r="O8" s="21">
        <f>O5</f>
        <v>318.92</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0.21302928446363348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9688.4435597916236</v>
      </c>
      <c r="C12" s="23">
        <f ca="1">C10*C8</f>
        <v>0</v>
      </c>
      <c r="D12" s="23">
        <f>D8*D10</f>
        <v>30846.856650130881</v>
      </c>
      <c r="E12" s="23">
        <f>E10*E8</f>
        <v>1964.2745984038872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6292</v>
      </c>
      <c r="C18" s="168" t="s">
        <v>111</v>
      </c>
      <c r="D18" s="230"/>
      <c r="E18" s="15"/>
    </row>
    <row r="19" spans="1:7">
      <c r="A19" s="173" t="s">
        <v>72</v>
      </c>
      <c r="B19" s="37">
        <f>aantalw2001_ander</f>
        <v>7</v>
      </c>
      <c r="C19" s="168" t="s">
        <v>111</v>
      </c>
      <c r="D19" s="231"/>
      <c r="E19" s="15"/>
    </row>
    <row r="20" spans="1:7">
      <c r="A20" s="173" t="s">
        <v>73</v>
      </c>
      <c r="B20" s="37">
        <f>aantalw2001_propaan</f>
        <v>107</v>
      </c>
      <c r="C20" s="169">
        <f>IF(ISERROR(B20/SUM($B$20,$B$21,$B$22)*100),0,B20/SUM($B$20,$B$21,$B$22)*100)</f>
        <v>17.685950413223139</v>
      </c>
      <c r="D20" s="231"/>
      <c r="E20" s="15"/>
    </row>
    <row r="21" spans="1:7">
      <c r="A21" s="173" t="s">
        <v>74</v>
      </c>
      <c r="B21" s="37">
        <f>aantalw2001_elektriciteit</f>
        <v>383</v>
      </c>
      <c r="C21" s="169">
        <f>IF(ISERROR(B21/SUM($B$20,$B$21,$B$22)*100),0,B21/SUM($B$20,$B$21,$B$22)*100)</f>
        <v>63.305785123966942</v>
      </c>
      <c r="D21" s="231"/>
      <c r="E21" s="15"/>
    </row>
    <row r="22" spans="1:7">
      <c r="A22" s="173" t="s">
        <v>75</v>
      </c>
      <c r="B22" s="37">
        <f>aantalw2001_hout</f>
        <v>115</v>
      </c>
      <c r="C22" s="169">
        <f>IF(ISERROR(B22/SUM($B$20,$B$21,$B$22)*100),0,B22/SUM($B$20,$B$21,$B$22)*100)</f>
        <v>19.008264462809919</v>
      </c>
      <c r="D22" s="231"/>
      <c r="E22" s="15"/>
    </row>
    <row r="23" spans="1:7">
      <c r="A23" s="173" t="s">
        <v>76</v>
      </c>
      <c r="B23" s="37">
        <f>aantalw2001_niet_gespec</f>
        <v>106</v>
      </c>
      <c r="C23" s="168" t="s">
        <v>111</v>
      </c>
      <c r="D23" s="230"/>
      <c r="E23" s="15"/>
    </row>
    <row r="24" spans="1:7">
      <c r="A24" s="173" t="s">
        <v>77</v>
      </c>
      <c r="B24" s="37">
        <f>aantalw2001_steenkool</f>
        <v>207</v>
      </c>
      <c r="C24" s="168" t="s">
        <v>111</v>
      </c>
      <c r="D24" s="231"/>
      <c r="E24" s="15"/>
    </row>
    <row r="25" spans="1:7">
      <c r="A25" s="173" t="s">
        <v>78</v>
      </c>
      <c r="B25" s="37">
        <f>aantalw2001_stookolie</f>
        <v>2932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11912</v>
      </c>
      <c r="C28" s="36"/>
      <c r="D28" s="230"/>
    </row>
    <row r="29" spans="1:7" s="15" customFormat="1">
      <c r="A29" s="232" t="s">
        <v>746</v>
      </c>
      <c r="B29" s="37">
        <f>SUM(HH_hh_gas_aantal,HH_rest_gas_aantal)</f>
        <v>9529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9529</v>
      </c>
      <c r="C32" s="169">
        <f>IF(ISERROR(B32/SUM($B$32,$B$34,$B$35,$B$36,$B$38,$B$39)*100),0,B32/SUM($B$32,$B$34,$B$35,$B$36,$B$38,$B$39)*100)</f>
        <v>80.23069798770733</v>
      </c>
      <c r="D32" s="235"/>
      <c r="G32" s="15"/>
    </row>
    <row r="33" spans="1:7">
      <c r="A33" s="173" t="s">
        <v>72</v>
      </c>
      <c r="B33" s="34" t="s">
        <v>111</v>
      </c>
      <c r="C33" s="169"/>
      <c r="D33" s="235"/>
      <c r="G33" s="15"/>
    </row>
    <row r="34" spans="1:7">
      <c r="A34" s="173" t="s">
        <v>73</v>
      </c>
      <c r="B34" s="33">
        <f>IF((($B$28-$B$32-$B$39-$B$77-$B$38)*C20/100)&lt;0,0,($B$28-$B$32-$B$39-$B$77-$B$38)*C20/100)</f>
        <v>415.26611570247928</v>
      </c>
      <c r="C34" s="169">
        <f>IF(ISERROR(B34/SUM($B$32,$B$34,$B$35,$B$36,$B$38,$B$39)*100),0,B34/SUM($B$32,$B$34,$B$35,$B$36,$B$38,$B$39)*100)</f>
        <v>3.496388950934405</v>
      </c>
      <c r="D34" s="235"/>
      <c r="G34" s="15"/>
    </row>
    <row r="35" spans="1:7">
      <c r="A35" s="173" t="s">
        <v>74</v>
      </c>
      <c r="B35" s="33">
        <f>IF((($B$28-$B$32-$B$39-$B$77-$B$38)*C21/100)&lt;0,0,($B$28-$B$32-$B$39-$B$77-$B$38)*C21/100)</f>
        <v>1486.4198347107438</v>
      </c>
      <c r="C35" s="169">
        <f>IF(ISERROR(B35/SUM($B$32,$B$34,$B$35,$B$36,$B$38,$B$39)*100),0,B35/SUM($B$32,$B$34,$B$35,$B$36,$B$38,$B$39)*100)</f>
        <v>12.515111852410069</v>
      </c>
      <c r="D35" s="235"/>
      <c r="G35" s="15"/>
    </row>
    <row r="36" spans="1:7">
      <c r="A36" s="173" t="s">
        <v>75</v>
      </c>
      <c r="B36" s="33">
        <f>IF((($B$28-$B$32-$B$39-$B$77-$B$38)*C22/100)&lt;0,0,($B$28-$B$32-$B$39-$B$77-$B$38)*C22/100)</f>
        <v>446.31404958677689</v>
      </c>
      <c r="C36" s="169">
        <f>IF(ISERROR(B36/SUM($B$32,$B$34,$B$35,$B$36,$B$38,$B$39)*100),0,B36/SUM($B$32,$B$34,$B$35,$B$36,$B$38,$B$39)*100)</f>
        <v>3.7578012089481931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9529</v>
      </c>
      <c r="C44" s="34" t="s">
        <v>111</v>
      </c>
      <c r="D44" s="176"/>
    </row>
    <row r="45" spans="1:7">
      <c r="A45" s="173" t="s">
        <v>72</v>
      </c>
      <c r="B45" s="33" t="str">
        <f t="shared" si="0"/>
        <v>-</v>
      </c>
      <c r="C45" s="34" t="s">
        <v>111</v>
      </c>
      <c r="D45" s="176"/>
    </row>
    <row r="46" spans="1:7">
      <c r="A46" s="173" t="s">
        <v>73</v>
      </c>
      <c r="B46" s="33">
        <f t="shared" si="0"/>
        <v>415.26611570247928</v>
      </c>
      <c r="C46" s="34" t="s">
        <v>111</v>
      </c>
      <c r="D46" s="176"/>
    </row>
    <row r="47" spans="1:7">
      <c r="A47" s="173" t="s">
        <v>74</v>
      </c>
      <c r="B47" s="33">
        <f t="shared" si="0"/>
        <v>1486.4198347107438</v>
      </c>
      <c r="C47" s="34" t="s">
        <v>111</v>
      </c>
      <c r="D47" s="176"/>
    </row>
    <row r="48" spans="1:7">
      <c r="A48" s="173" t="s">
        <v>75</v>
      </c>
      <c r="B48" s="33">
        <f t="shared" si="0"/>
        <v>446.31404958677689</v>
      </c>
      <c r="C48" s="33">
        <f>B48*10</f>
        <v>4463.1404958677685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70266.033087745047</v>
      </c>
      <c r="C5" s="17">
        <f>IF(ISERROR('Eigen informatie GS &amp; warmtenet'!B58),0,'Eigen informatie GS &amp; warmtenet'!B58)</f>
        <v>0</v>
      </c>
      <c r="D5" s="30">
        <f>SUM(D6:D12)</f>
        <v>72924.291756221137</v>
      </c>
      <c r="E5" s="17">
        <f>SUM(E6:E12)</f>
        <v>797.1340857649808</v>
      </c>
      <c r="F5" s="17">
        <f>SUM(F6:F12)</f>
        <v>13983.954939122725</v>
      </c>
      <c r="G5" s="18"/>
      <c r="H5" s="17"/>
      <c r="I5" s="17"/>
      <c r="J5" s="17">
        <f>SUM(J6:J12)</f>
        <v>0</v>
      </c>
      <c r="K5" s="17"/>
      <c r="L5" s="17"/>
      <c r="M5" s="17"/>
      <c r="N5" s="17">
        <f>SUM(N6:N12)</f>
        <v>6561.6955045084123</v>
      </c>
      <c r="O5" s="17">
        <f>B38*B39*B40</f>
        <v>1.5633333333333335</v>
      </c>
      <c r="P5" s="17">
        <f>B46*B47*B48/1000-B46*B47*B48/1000/B49</f>
        <v>190.66666666666669</v>
      </c>
      <c r="R5" s="32"/>
    </row>
    <row r="6" spans="1:18">
      <c r="A6" s="32" t="s">
        <v>54</v>
      </c>
      <c r="B6" s="37">
        <f>B26</f>
        <v>20915.3790773869</v>
      </c>
      <c r="C6" s="33"/>
      <c r="D6" s="37">
        <f>IF(ISERROR(TER_kantoor_gas_kWh/1000),0,TER_kantoor_gas_kWh/1000)*0.902</f>
        <v>16159.630260854672</v>
      </c>
      <c r="E6" s="33">
        <f>$C$26*'E Balans VL '!I12/100/3.6*1000000</f>
        <v>81.260675759398055</v>
      </c>
      <c r="F6" s="33">
        <f>$C$26*('E Balans VL '!L12+'E Balans VL '!N12)/100/3.6*1000000</f>
        <v>3181.0388428941537</v>
      </c>
      <c r="G6" s="34"/>
      <c r="H6" s="33"/>
      <c r="I6" s="33"/>
      <c r="J6" s="33">
        <f>$C$26*('E Balans VL '!D12+'E Balans VL '!E12)/100/3.6*1000000</f>
        <v>0</v>
      </c>
      <c r="K6" s="33"/>
      <c r="L6" s="33"/>
      <c r="M6" s="33"/>
      <c r="N6" s="33">
        <f>$C$26*'E Balans VL '!Y12/100/3.6*1000000</f>
        <v>11.526879472348368</v>
      </c>
      <c r="O6" s="33"/>
      <c r="P6" s="33"/>
      <c r="R6" s="32"/>
    </row>
    <row r="7" spans="1:18">
      <c r="A7" s="32" t="s">
        <v>53</v>
      </c>
      <c r="B7" s="37">
        <f t="shared" ref="B7:B12" si="0">B27</f>
        <v>4192.9781141101003</v>
      </c>
      <c r="C7" s="33"/>
      <c r="D7" s="37">
        <f>IF(ISERROR(TER_horeca_gas_kWh/1000),0,TER_horeca_gas_kWh/1000)*0.902</f>
        <v>5960.6020089232597</v>
      </c>
      <c r="E7" s="33">
        <f>$C$27*'E Balans VL '!I9/100/3.6*1000000</f>
        <v>236.19157818443682</v>
      </c>
      <c r="F7" s="33">
        <f>$C$27*('E Balans VL '!L9+'E Balans VL '!N9)/100/3.6*1000000</f>
        <v>1209.0038596341556</v>
      </c>
      <c r="G7" s="34"/>
      <c r="H7" s="33"/>
      <c r="I7" s="33"/>
      <c r="J7" s="33">
        <f>$C$27*('E Balans VL '!D9+'E Balans VL '!E9)/100/3.6*1000000</f>
        <v>0</v>
      </c>
      <c r="K7" s="33"/>
      <c r="L7" s="33"/>
      <c r="M7" s="33"/>
      <c r="N7" s="33">
        <f>$C$27*'E Balans VL '!Y9/100/3.6*1000000</f>
        <v>1.1576594685414798</v>
      </c>
      <c r="O7" s="33"/>
      <c r="P7" s="33"/>
      <c r="R7" s="32"/>
    </row>
    <row r="8" spans="1:18">
      <c r="A8" s="6" t="s">
        <v>52</v>
      </c>
      <c r="B8" s="37">
        <f t="shared" si="0"/>
        <v>23749.935001294099</v>
      </c>
      <c r="C8" s="33"/>
      <c r="D8" s="37">
        <f>IF(ISERROR(TER_handel_gas_kWh/1000),0,TER_handel_gas_kWh/1000)*0.902</f>
        <v>19776.570776986839</v>
      </c>
      <c r="E8" s="33">
        <f>$C$28*'E Balans VL '!I13/100/3.6*1000000</f>
        <v>342.31713888280365</v>
      </c>
      <c r="F8" s="33">
        <f>$C$28*('E Balans VL '!L13+'E Balans VL '!N13)/100/3.6*1000000</f>
        <v>4125.9168083885024</v>
      </c>
      <c r="G8" s="34"/>
      <c r="H8" s="33"/>
      <c r="I8" s="33"/>
      <c r="J8" s="33">
        <f>$C$28*('E Balans VL '!D13+'E Balans VL '!E13)/100/3.6*1000000</f>
        <v>0</v>
      </c>
      <c r="K8" s="33"/>
      <c r="L8" s="33"/>
      <c r="M8" s="33"/>
      <c r="N8" s="33">
        <f>$C$28*'E Balans VL '!Y13/100/3.6*1000000</f>
        <v>71.157449161106143</v>
      </c>
      <c r="O8" s="33"/>
      <c r="P8" s="33"/>
      <c r="R8" s="32"/>
    </row>
    <row r="9" spans="1:18">
      <c r="A9" s="32" t="s">
        <v>51</v>
      </c>
      <c r="B9" s="37">
        <f t="shared" si="0"/>
        <v>2321.2710648359102</v>
      </c>
      <c r="C9" s="33"/>
      <c r="D9" s="37">
        <f>IF(ISERROR(TER_gezond_gas_kWh/1000),0,TER_gezond_gas_kWh/1000)*0.902</f>
        <v>7152.1054827017851</v>
      </c>
      <c r="E9" s="33">
        <f>$C$29*'E Balans VL '!I10/100/3.6*1000000</f>
        <v>2.4797191486098109</v>
      </c>
      <c r="F9" s="33">
        <f>$C$29*('E Balans VL '!L10+'E Balans VL '!N10)/100/3.6*1000000</f>
        <v>378.66985674965559</v>
      </c>
      <c r="G9" s="34"/>
      <c r="H9" s="33"/>
      <c r="I9" s="33"/>
      <c r="J9" s="33">
        <f>$C$29*('E Balans VL '!D10+'E Balans VL '!E10)/100/3.6*1000000</f>
        <v>0</v>
      </c>
      <c r="K9" s="33"/>
      <c r="L9" s="33"/>
      <c r="M9" s="33"/>
      <c r="N9" s="33">
        <f>$C$29*'E Balans VL '!Y10/100/3.6*1000000</f>
        <v>23.896161121640102</v>
      </c>
      <c r="O9" s="33"/>
      <c r="P9" s="33"/>
      <c r="R9" s="32"/>
    </row>
    <row r="10" spans="1:18">
      <c r="A10" s="32" t="s">
        <v>50</v>
      </c>
      <c r="B10" s="37">
        <f t="shared" si="0"/>
        <v>8392.7729996689195</v>
      </c>
      <c r="C10" s="33"/>
      <c r="D10" s="37">
        <f>IF(ISERROR(TER_ander_gas_kWh/1000),0,TER_ander_gas_kWh/1000)*0.902</f>
        <v>8746.1522595123643</v>
      </c>
      <c r="E10" s="33">
        <f>$C$30*'E Balans VL '!I14/100/3.6*1000000</f>
        <v>38.59708638993483</v>
      </c>
      <c r="F10" s="33">
        <f>$C$30*('E Balans VL '!L14+'E Balans VL '!N14)/100/3.6*1000000</f>
        <v>2515.5787998548335</v>
      </c>
      <c r="G10" s="34"/>
      <c r="H10" s="33"/>
      <c r="I10" s="33"/>
      <c r="J10" s="33">
        <f>$C$30*('E Balans VL '!D14+'E Balans VL '!E14)/100/3.6*1000000</f>
        <v>0</v>
      </c>
      <c r="K10" s="33"/>
      <c r="L10" s="33"/>
      <c r="M10" s="33"/>
      <c r="N10" s="33">
        <f>$C$30*'E Balans VL '!Y14/100/3.6*1000000</f>
        <v>5841.9240211666802</v>
      </c>
      <c r="O10" s="33"/>
      <c r="P10" s="33"/>
      <c r="R10" s="32"/>
    </row>
    <row r="11" spans="1:18">
      <c r="A11" s="32" t="s">
        <v>55</v>
      </c>
      <c r="B11" s="37">
        <f t="shared" si="0"/>
        <v>2983.54960534766</v>
      </c>
      <c r="C11" s="33"/>
      <c r="D11" s="37">
        <f>IF(ISERROR(TER_onderwijs_gas_kWh/1000),0,TER_onderwijs_gas_kWh/1000)*0.902</f>
        <v>6174.0700434924311</v>
      </c>
      <c r="E11" s="33">
        <f>$C$31*'E Balans VL '!I11/100/3.6*1000000</f>
        <v>2.7676346219233228</v>
      </c>
      <c r="F11" s="33">
        <f>$C$31*('E Balans VL '!L11+'E Balans VL '!N11)/100/3.6*1000000</f>
        <v>1048.0524044010176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7710.1472251014602</v>
      </c>
      <c r="C12" s="33"/>
      <c r="D12" s="37">
        <f>IF(ISERROR(TER_rest_gas_kWh/1000),0,TER_rest_gas_kWh/1000)*0.902</f>
        <v>8955.1609237497796</v>
      </c>
      <c r="E12" s="33">
        <f>$C$32*'E Balans VL '!I8/100/3.6*1000000</f>
        <v>93.520252777874333</v>
      </c>
      <c r="F12" s="33">
        <f>$C$32*('E Balans VL '!L8+'E Balans VL '!N8)/100/3.6*1000000</f>
        <v>1525.6943672004065</v>
      </c>
      <c r="G12" s="34"/>
      <c r="H12" s="33"/>
      <c r="I12" s="33"/>
      <c r="J12" s="33">
        <f>$C$32*('E Balans VL '!D8+'E Balans VL '!E8)/100/3.6*1000000</f>
        <v>0</v>
      </c>
      <c r="K12" s="33"/>
      <c r="L12" s="33"/>
      <c r="M12" s="33"/>
      <c r="N12" s="33">
        <f>$C$32*'E Balans VL '!Y8/100/3.6*1000000</f>
        <v>612.03333411809592</v>
      </c>
      <c r="O12" s="33"/>
      <c r="P12" s="33"/>
      <c r="R12" s="32"/>
    </row>
    <row r="13" spans="1:18">
      <c r="A13" s="16" t="s">
        <v>497</v>
      </c>
      <c r="B13" s="249">
        <f ca="1">'lokale energieproductie'!N91+'lokale energieproductie'!N60</f>
        <v>900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-2571.4285714285716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71166.033087745047</v>
      </c>
      <c r="C16" s="21">
        <f t="shared" ca="1" si="1"/>
        <v>0</v>
      </c>
      <c r="D16" s="21">
        <f t="shared" ca="1" si="1"/>
        <v>72924.291756221137</v>
      </c>
      <c r="E16" s="21">
        <f t="shared" si="1"/>
        <v>797.1340857649808</v>
      </c>
      <c r="F16" s="21">
        <f t="shared" ca="1" si="1"/>
        <v>13983.954939122725</v>
      </c>
      <c r="G16" s="21">
        <f t="shared" si="1"/>
        <v>0</v>
      </c>
      <c r="H16" s="21">
        <f t="shared" si="1"/>
        <v>0</v>
      </c>
      <c r="I16" s="21">
        <f t="shared" si="1"/>
        <v>0</v>
      </c>
      <c r="J16" s="21">
        <f t="shared" si="1"/>
        <v>0</v>
      </c>
      <c r="K16" s="21">
        <f t="shared" si="1"/>
        <v>0</v>
      </c>
      <c r="L16" s="21">
        <f t="shared" ca="1" si="1"/>
        <v>0</v>
      </c>
      <c r="M16" s="21">
        <f t="shared" si="1"/>
        <v>0</v>
      </c>
      <c r="N16" s="21">
        <f t="shared" ca="1" si="1"/>
        <v>3990.2669330798408</v>
      </c>
      <c r="O16" s="21">
        <f>O5</f>
        <v>1.5633333333333335</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0.21302928446363348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15160.449106797592</v>
      </c>
      <c r="C20" s="23">
        <f t="shared" ref="C20:P20" ca="1" si="2">C16*C18</f>
        <v>0</v>
      </c>
      <c r="D20" s="23">
        <f t="shared" ca="1" si="2"/>
        <v>14730.70693475667</v>
      </c>
      <c r="E20" s="23">
        <f t="shared" si="2"/>
        <v>180.94943746865064</v>
      </c>
      <c r="F20" s="23">
        <f t="shared" ca="1" si="2"/>
        <v>3733.7159687457679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20915.3790773869</v>
      </c>
      <c r="C26" s="39">
        <f>IF(ISERROR(B26*3.6/1000000/'E Balans VL '!Z12*100),0,B26*3.6/1000000/'E Balans VL '!Z12*100)</f>
        <v>0.44425301173569393</v>
      </c>
      <c r="D26" s="239" t="s">
        <v>692</v>
      </c>
      <c r="F26" s="6"/>
    </row>
    <row r="27" spans="1:18">
      <c r="A27" s="233" t="s">
        <v>53</v>
      </c>
      <c r="B27" s="33">
        <f>IF(ISERROR(TER_horeca_ele_kWh/1000),0,TER_horeca_ele_kWh/1000)</f>
        <v>4192.9781141101003</v>
      </c>
      <c r="C27" s="39">
        <f>IF(ISERROR(B27*3.6/1000000/'E Balans VL '!Z9*100),0,B27*3.6/1000000/'E Balans VL '!Z9*100)</f>
        <v>0.32602958393706771</v>
      </c>
      <c r="D27" s="239" t="s">
        <v>692</v>
      </c>
      <c r="F27" s="6"/>
    </row>
    <row r="28" spans="1:18">
      <c r="A28" s="173" t="s">
        <v>52</v>
      </c>
      <c r="B28" s="33">
        <f>IF(ISERROR(TER_handel_ele_kWh/1000),0,TER_handel_ele_kWh/1000)</f>
        <v>23749.935001294099</v>
      </c>
      <c r="C28" s="39">
        <f>IF(ISERROR(B28*3.6/1000000/'E Balans VL '!Z13*100),0,B28*3.6/1000000/'E Balans VL '!Z13*100)</f>
        <v>0.67951359126445243</v>
      </c>
      <c r="D28" s="239" t="s">
        <v>692</v>
      </c>
      <c r="F28" s="6"/>
    </row>
    <row r="29" spans="1:18">
      <c r="A29" s="233" t="s">
        <v>51</v>
      </c>
      <c r="B29" s="33">
        <f>IF(ISERROR(TER_gezond_ele_kWh/1000),0,TER_gezond_ele_kWh/1000)</f>
        <v>2321.2710648359102</v>
      </c>
      <c r="C29" s="39">
        <f>IF(ISERROR(B29*3.6/1000000/'E Balans VL '!Z10*100),0,B29*3.6/1000000/'E Balans VL '!Z10*100)</f>
        <v>0.25307248593755383</v>
      </c>
      <c r="D29" s="239" t="s">
        <v>692</v>
      </c>
      <c r="F29" s="6"/>
    </row>
    <row r="30" spans="1:18">
      <c r="A30" s="233" t="s">
        <v>50</v>
      </c>
      <c r="B30" s="33">
        <f>IF(ISERROR(TER_ander_ele_kWh/1000),0,TER_ander_ele_kWh/1000)</f>
        <v>8392.7729996689195</v>
      </c>
      <c r="C30" s="39">
        <f>IF(ISERROR(B30*3.6/1000000/'E Balans VL '!Z14*100),0,B30*3.6/1000000/'E Balans VL '!Z14*100)</f>
        <v>0.61416408956153934</v>
      </c>
      <c r="D30" s="239" t="s">
        <v>692</v>
      </c>
      <c r="F30" s="6"/>
    </row>
    <row r="31" spans="1:18">
      <c r="A31" s="233" t="s">
        <v>55</v>
      </c>
      <c r="B31" s="33">
        <f>IF(ISERROR(TER_onderwijs_ele_kWh/1000),0,TER_onderwijs_ele_kWh/1000)</f>
        <v>2983.54960534766</v>
      </c>
      <c r="C31" s="39">
        <f>IF(ISERROR(B31*3.6/1000000/'E Balans VL '!Z11*100),0,B31*3.6/1000000/'E Balans VL '!Z11*100)</f>
        <v>0.59924815375692153</v>
      </c>
      <c r="D31" s="239" t="s">
        <v>692</v>
      </c>
    </row>
    <row r="32" spans="1:18">
      <c r="A32" s="233" t="s">
        <v>260</v>
      </c>
      <c r="B32" s="33">
        <f>IF(ISERROR(TER_rest_ele_kWh/1000),0,TER_rest_ele_kWh/1000)</f>
        <v>7710.1472251014602</v>
      </c>
      <c r="C32" s="39">
        <f>IF(ISERROR(B32*3.6/1000000/'E Balans VL '!Z8*100),0,B32*3.6/1000000/'E Balans VL '!Z8*100)</f>
        <v>6.2833020833964776E-2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118661.24149710767</v>
      </c>
      <c r="C5" s="17">
        <f>IF(ISERROR('Eigen informatie GS &amp; warmtenet'!B59),0,'Eigen informatie GS &amp; warmtenet'!B59)</f>
        <v>0</v>
      </c>
      <c r="D5" s="30">
        <f>SUM(D6:D15)</f>
        <v>69918.712819188469</v>
      </c>
      <c r="E5" s="17">
        <f>SUM(E6:E15)</f>
        <v>8604.0437932981986</v>
      </c>
      <c r="F5" s="17">
        <f>SUM(F6:F15)</f>
        <v>41556.519280997498</v>
      </c>
      <c r="G5" s="18"/>
      <c r="H5" s="17"/>
      <c r="I5" s="17"/>
      <c r="J5" s="17">
        <f>SUM(J6:J15)</f>
        <v>190.56988039540974</v>
      </c>
      <c r="K5" s="17"/>
      <c r="L5" s="17"/>
      <c r="M5" s="17"/>
      <c r="N5" s="17">
        <f>SUM(N6:N15)</f>
        <v>24485.348283521467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24463.9644296525</v>
      </c>
      <c r="C8" s="33"/>
      <c r="D8" s="37">
        <f>IF( ISERROR(IND_metaal_Gas_kWH/1000),0,IND_metaal_Gas_kWH/1000)*0.902</f>
        <v>1725.1257036818915</v>
      </c>
      <c r="E8" s="33">
        <f>C30*'E Balans VL '!I18/100/3.6*1000000</f>
        <v>702.69688487695134</v>
      </c>
      <c r="F8" s="33">
        <f>C30*'E Balans VL '!L18/100/3.6*1000000+C30*'E Balans VL '!N18/100/3.6*1000000</f>
        <v>6274.5363665523373</v>
      </c>
      <c r="G8" s="34"/>
      <c r="H8" s="33"/>
      <c r="I8" s="33"/>
      <c r="J8" s="40">
        <f>C30*'E Balans VL '!D18/100/3.6*1000000+C30*'E Balans VL '!E18/100/3.6*1000000</f>
        <v>0</v>
      </c>
      <c r="K8" s="33"/>
      <c r="L8" s="33"/>
      <c r="M8" s="33"/>
      <c r="N8" s="33">
        <f>C30*'E Balans VL '!Y18/100/3.6*1000000</f>
        <v>664.24657229157208</v>
      </c>
      <c r="O8" s="33"/>
      <c r="P8" s="33"/>
      <c r="R8" s="32"/>
    </row>
    <row r="9" spans="1:18">
      <c r="A9" s="6" t="s">
        <v>33</v>
      </c>
      <c r="B9" s="37">
        <f t="shared" si="0"/>
        <v>11920.4127076074</v>
      </c>
      <c r="C9" s="33"/>
      <c r="D9" s="37">
        <f>IF( ISERROR(IND_andere_gas_kWh/1000),0,IND_andere_gas_kWh/1000)*0.902</f>
        <v>5019.4002127918438</v>
      </c>
      <c r="E9" s="33">
        <f>C31*'E Balans VL '!I19/100/3.6*1000000</f>
        <v>3226.5626322799512</v>
      </c>
      <c r="F9" s="33">
        <f>C31*'E Balans VL '!L19/100/3.6*1000000+C31*'E Balans VL '!N19/100/3.6*1000000</f>
        <v>7940.256306434173</v>
      </c>
      <c r="G9" s="34"/>
      <c r="H9" s="33"/>
      <c r="I9" s="33"/>
      <c r="J9" s="40">
        <f>C31*'E Balans VL '!D19/100/3.6*1000000+C31*'E Balans VL '!E19/100/3.6*1000000</f>
        <v>0</v>
      </c>
      <c r="K9" s="33"/>
      <c r="L9" s="33"/>
      <c r="M9" s="33"/>
      <c r="N9" s="33">
        <f>C31*'E Balans VL '!Y19/100/3.6*1000000</f>
        <v>3891.8167340264795</v>
      </c>
      <c r="O9" s="33"/>
      <c r="P9" s="33"/>
      <c r="R9" s="32"/>
    </row>
    <row r="10" spans="1:18">
      <c r="A10" s="6" t="s">
        <v>41</v>
      </c>
      <c r="B10" s="37">
        <f t="shared" si="0"/>
        <v>6555.5576032340095</v>
      </c>
      <c r="C10" s="33"/>
      <c r="D10" s="37">
        <f>IF( ISERROR(IND_voed_gas_kWh/1000),0,IND_voed_gas_kWh/1000)*0.902</f>
        <v>9827.5947961423317</v>
      </c>
      <c r="E10" s="33">
        <f>C32*'E Balans VL '!I20/100/3.6*1000000</f>
        <v>534.68633912145151</v>
      </c>
      <c r="F10" s="33">
        <f>C32*'E Balans VL '!L20/100/3.6*1000000+C32*'E Balans VL '!N20/100/3.6*1000000</f>
        <v>9774.9311587223892</v>
      </c>
      <c r="G10" s="34"/>
      <c r="H10" s="33"/>
      <c r="I10" s="33"/>
      <c r="J10" s="40">
        <f>C32*'E Balans VL '!D20/100/3.6*1000000+C32*'E Balans VL '!E20/100/3.6*1000000</f>
        <v>8.6722069711342942E-2</v>
      </c>
      <c r="K10" s="33"/>
      <c r="L10" s="33"/>
      <c r="M10" s="33"/>
      <c r="N10" s="33">
        <f>C32*'E Balans VL '!Y20/100/3.6*1000000</f>
        <v>1925.7915031451482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207.11793739776101</v>
      </c>
      <c r="C12" s="33"/>
      <c r="D12" s="37">
        <f>IF( ISERROR(IND_min_gas_kWh/1000),0,IND_min_gas_kWh/1000)*0.902</f>
        <v>0</v>
      </c>
      <c r="E12" s="33">
        <f>C34*'E Balans VL '!I22/100/3.6*1000000</f>
        <v>1.6134036032509433</v>
      </c>
      <c r="F12" s="33">
        <f>C34*'E Balans VL '!L22/100/3.6*1000000+C34*'E Balans VL '!N22/100/3.6*1000000</f>
        <v>78.112158200447226</v>
      </c>
      <c r="G12" s="34"/>
      <c r="H12" s="33"/>
      <c r="I12" s="33"/>
      <c r="J12" s="40">
        <f>C34*'E Balans VL '!D22/100/3.6*1000000+C34*'E Balans VL '!E22/100/3.6*1000000</f>
        <v>1.1391305467600947</v>
      </c>
      <c r="K12" s="33"/>
      <c r="L12" s="33"/>
      <c r="M12" s="33"/>
      <c r="N12" s="33">
        <f>C34*'E Balans VL '!Y22/100/3.6*1000000</f>
        <v>0</v>
      </c>
      <c r="O12" s="33"/>
      <c r="P12" s="33"/>
      <c r="R12" s="32"/>
    </row>
    <row r="13" spans="1:18">
      <c r="A13" s="6" t="s">
        <v>39</v>
      </c>
      <c r="B13" s="37">
        <f t="shared" si="0"/>
        <v>1640.0639211104901</v>
      </c>
      <c r="C13" s="33"/>
      <c r="D13" s="37">
        <f>IF( ISERROR(IND_papier_gas_kWh/1000),0,IND_papier_gas_kWh/1000)*0.902</f>
        <v>782.02471277824714</v>
      </c>
      <c r="E13" s="33">
        <f>C35*'E Balans VL '!I23/100/3.6*1000000</f>
        <v>17.182657405460887</v>
      </c>
      <c r="F13" s="33">
        <f>C35*'E Balans VL '!L23/100/3.6*1000000+C35*'E Balans VL '!N23/100/3.6*1000000</f>
        <v>122.38186048808868</v>
      </c>
      <c r="G13" s="34"/>
      <c r="H13" s="33"/>
      <c r="I13" s="33"/>
      <c r="J13" s="40">
        <f>C35*'E Balans VL '!D23/100/3.6*1000000+C35*'E Balans VL '!E23/100/3.6*1000000</f>
        <v>0</v>
      </c>
      <c r="K13" s="33"/>
      <c r="L13" s="33"/>
      <c r="M13" s="33"/>
      <c r="N13" s="33">
        <f>C35*'E Balans VL '!Y23/100/3.6*1000000</f>
        <v>3505.4654467028536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73874.124898105496</v>
      </c>
      <c r="C15" s="33"/>
      <c r="D15" s="37">
        <f>IF( ISERROR(IND_rest_gas_kWh/1000),0,IND_rest_gas_kWh/1000)*0.902</f>
        <v>52564.567393794161</v>
      </c>
      <c r="E15" s="33">
        <f>C37*'E Balans VL '!I15/100/3.6*1000000</f>
        <v>4121.3018760111318</v>
      </c>
      <c r="F15" s="33">
        <f>C37*'E Balans VL '!L15/100/3.6*1000000+C37*'E Balans VL '!N15/100/3.6*1000000</f>
        <v>17366.301430600062</v>
      </c>
      <c r="G15" s="34"/>
      <c r="H15" s="33"/>
      <c r="I15" s="33"/>
      <c r="J15" s="40">
        <f>C37*'E Balans VL '!D15/100/3.6*1000000+C37*'E Balans VL '!E15/100/3.6*1000000</f>
        <v>189.34402777893831</v>
      </c>
      <c r="K15" s="33"/>
      <c r="L15" s="33"/>
      <c r="M15" s="33"/>
      <c r="N15" s="33">
        <f>C37*'E Balans VL '!Y15/100/3.6*1000000</f>
        <v>14498.028027355414</v>
      </c>
      <c r="O15" s="33"/>
      <c r="P15" s="33"/>
      <c r="R15" s="32"/>
    </row>
    <row r="16" spans="1:18">
      <c r="A16" s="16" t="s">
        <v>497</v>
      </c>
      <c r="B16" s="249">
        <f>'lokale energieproductie'!N90+'lokale energieproductie'!N59</f>
        <v>367.50000000000006</v>
      </c>
      <c r="C16" s="249">
        <f>'lokale energieproductie'!O90+'lokale energieproductie'!O59</f>
        <v>525.00000000000011</v>
      </c>
      <c r="D16" s="312">
        <f>('lokale energieproductie'!P59+'lokale energieproductie'!P90)*(-1)</f>
        <v>-1050.0000000000002</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119028.74149710767</v>
      </c>
      <c r="C18" s="21">
        <f>C5+C16</f>
        <v>525.00000000000011</v>
      </c>
      <c r="D18" s="21">
        <f>MAX((D5+D16),0)</f>
        <v>68868.712819188469</v>
      </c>
      <c r="E18" s="21">
        <f>MAX((E5+E16),0)</f>
        <v>8604.0437932981986</v>
      </c>
      <c r="F18" s="21">
        <f>MAX((F5+F16),0)</f>
        <v>41556.519280997498</v>
      </c>
      <c r="G18" s="21"/>
      <c r="H18" s="21"/>
      <c r="I18" s="21"/>
      <c r="J18" s="21">
        <f>MAX((J5+J16),0)</f>
        <v>190.56988039540974</v>
      </c>
      <c r="K18" s="21"/>
      <c r="L18" s="21">
        <f>MAX((L5+L16),0)</f>
        <v>0</v>
      </c>
      <c r="M18" s="21"/>
      <c r="N18" s="21">
        <f>MAX((N5+N16),0)</f>
        <v>24485.348283521467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0.21302928446363348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25356.607631735642</v>
      </c>
      <c r="C22" s="23">
        <f ca="1">C18*C20</f>
        <v>124.76470588235298</v>
      </c>
      <c r="D22" s="23">
        <f>D18*D20</f>
        <v>13911.479989476071</v>
      </c>
      <c r="E22" s="23">
        <f>E18*E20</f>
        <v>1953.117941078691</v>
      </c>
      <c r="F22" s="23">
        <f>F18*F20</f>
        <v>11095.590648026333</v>
      </c>
      <c r="G22" s="23"/>
      <c r="H22" s="23"/>
      <c r="I22" s="23"/>
      <c r="J22" s="23">
        <f>J18*J20</f>
        <v>67.461737659975043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24463.9644296525</v>
      </c>
      <c r="C30" s="39">
        <f>IF(ISERROR(B30*3.6/1000000/'E Balans VL '!Z18*100),0,B30*3.6/1000000/'E Balans VL '!Z18*100)</f>
        <v>2.4071916500290906</v>
      </c>
      <c r="D30" s="239" t="s">
        <v>692</v>
      </c>
    </row>
    <row r="31" spans="1:18">
      <c r="A31" s="6" t="s">
        <v>33</v>
      </c>
      <c r="B31" s="37">
        <f>IF( ISERROR(IND_ander_ele_kWh/1000),0,IND_ander_ele_kWh/1000)</f>
        <v>11920.4127076074</v>
      </c>
      <c r="C31" s="39">
        <f>IF(ISERROR(B31*3.6/1000000/'E Balans VL '!Z19*100),0,B31*3.6/1000000/'E Balans VL '!Z19*100)</f>
        <v>0.51912446459675354</v>
      </c>
      <c r="D31" s="239" t="s">
        <v>692</v>
      </c>
    </row>
    <row r="32" spans="1:18">
      <c r="A32" s="173" t="s">
        <v>41</v>
      </c>
      <c r="B32" s="37">
        <f>IF( ISERROR(IND_voed_ele_kWh/1000),0,IND_voed_ele_kWh/1000)</f>
        <v>6555.5576032340095</v>
      </c>
      <c r="C32" s="39">
        <f>IF(ISERROR(B32*3.6/1000000/'E Balans VL '!Z20*100),0,B32*3.6/1000000/'E Balans VL '!Z20*100)</f>
        <v>1.2438225137881365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207.11793739776101</v>
      </c>
      <c r="C34" s="39">
        <f>IF(ISERROR(B34*3.6/1000000/'E Balans VL '!Z22*100),0,B34*3.6/1000000/'E Balans VL '!Z22*100)</f>
        <v>2.9122861811625531E-2</v>
      </c>
      <c r="D34" s="239" t="s">
        <v>692</v>
      </c>
    </row>
    <row r="35" spans="1:5">
      <c r="A35" s="173" t="s">
        <v>39</v>
      </c>
      <c r="B35" s="37">
        <f>IF( ISERROR(IND_papier_ele_kWh/1000),0,IND_papier_ele_kWh/1000)</f>
        <v>1640.0639211104901</v>
      </c>
      <c r="C35" s="39">
        <f>IF(ISERROR(B35*3.6/1000000/'E Balans VL '!Z22*100),0,B35*3.6/1000000/'E Balans VL '!Z22*100)</f>
        <v>0.23060945631669777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73874.124898105496</v>
      </c>
      <c r="C37" s="39">
        <f>IF(ISERROR(B37*3.6/1000000/'E Balans VL '!Z15*100),0,B37*3.6/1000000/'E Balans VL '!Z15*100)</f>
        <v>0.56929086846858401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1365.4215723933628</v>
      </c>
      <c r="C5" s="17">
        <f>'Eigen informatie GS &amp; warmtenet'!B60</f>
        <v>0</v>
      </c>
      <c r="D5" s="30">
        <f>IF(ISERROR(SUM(LB_lb_gas_kWh,LB_rest_gas_kWh)/1000),0,SUM(LB_lb_gas_kWh,LB_rest_gas_kWh)/1000)*0.902</f>
        <v>56520.096921795397</v>
      </c>
      <c r="E5" s="17">
        <f>B17*'E Balans VL '!I25/3.6*1000000/100</f>
        <v>17.2060708327867</v>
      </c>
      <c r="F5" s="17">
        <f>B17*('E Balans VL '!L25/3.6*1000000+'E Balans VL '!N25/3.6*1000000)/100</f>
        <v>4711.0464832998223</v>
      </c>
      <c r="G5" s="18"/>
      <c r="H5" s="17"/>
      <c r="I5" s="17"/>
      <c r="J5" s="17">
        <f>('E Balans VL '!D25+'E Balans VL '!E25)/3.6*1000000*landbouw!B17/100</f>
        <v>205.34388292333381</v>
      </c>
      <c r="K5" s="17"/>
      <c r="L5" s="17">
        <f>L6*(-1)</f>
        <v>0</v>
      </c>
      <c r="M5" s="17"/>
      <c r="N5" s="17">
        <f>N6*(-1)</f>
        <v>0</v>
      </c>
      <c r="O5" s="17"/>
      <c r="P5" s="17"/>
      <c r="R5" s="32"/>
    </row>
    <row r="6" spans="1:18">
      <c r="A6" s="16" t="s">
        <v>497</v>
      </c>
      <c r="B6" s="17" t="s">
        <v>211</v>
      </c>
      <c r="C6" s="17">
        <f>'lokale energieproductie'!O92+'lokale energieproductie'!O61</f>
        <v>32406.428571428572</v>
      </c>
      <c r="D6" s="312">
        <f>('lokale energieproductie'!P61+'lokale energieproductie'!P92)*(-1)</f>
        <v>-64812.857142857145</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1365.4215723933628</v>
      </c>
      <c r="C8" s="21">
        <f>C5+C6</f>
        <v>32406.428571428572</v>
      </c>
      <c r="D8" s="21">
        <f>MAX((D5+D6),0)</f>
        <v>0</v>
      </c>
      <c r="E8" s="21">
        <f>MAX((E5+E6),0)</f>
        <v>17.2060708327867</v>
      </c>
      <c r="F8" s="21">
        <f>MAX((F5+F6),0)</f>
        <v>4711.0464832998223</v>
      </c>
      <c r="G8" s="21"/>
      <c r="H8" s="21"/>
      <c r="I8" s="21"/>
      <c r="J8" s="21">
        <f>MAX((J5+J6),0)</f>
        <v>205.34388292333381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0.21302928446363348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290.8747805581674</v>
      </c>
      <c r="C12" s="23">
        <f ca="1">C8*C10</f>
        <v>7701.2924369747907</v>
      </c>
      <c r="D12" s="23">
        <f>D8*D10</f>
        <v>0</v>
      </c>
      <c r="E12" s="23">
        <f>E8*E10</f>
        <v>3.9057780790425811</v>
      </c>
      <c r="F12" s="23">
        <f>F8*F10</f>
        <v>1257.8494110410527</v>
      </c>
      <c r="G12" s="23"/>
      <c r="H12" s="23"/>
      <c r="I12" s="23"/>
      <c r="J12" s="23">
        <f>J8*J10</f>
        <v>72.691734554860162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0.19043327375896904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148.79020506019953</v>
      </c>
      <c r="C26" s="249">
        <f>B26*'GWP N2O_CH4'!B5</f>
        <v>3124.59430626419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66.443156642858455</v>
      </c>
      <c r="C27" s="249">
        <f>B27*'GWP N2O_CH4'!B5</f>
        <v>1395.3062895000276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3.2775191342163796</v>
      </c>
      <c r="C28" s="249">
        <f>B28*'GWP N2O_CH4'!B4</f>
        <v>1016.0309316070777</v>
      </c>
      <c r="D28" s="50"/>
    </row>
    <row r="29" spans="1:4">
      <c r="A29" s="41" t="s">
        <v>277</v>
      </c>
      <c r="B29" s="249">
        <f>B34*'ha_N2O bodem landbouw'!B4</f>
        <v>9.0361988441642662</v>
      </c>
      <c r="C29" s="249">
        <f>B29*'GWP N2O_CH4'!B4</f>
        <v>2801.2216416909228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2.2562485591688915E-3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4.4808603246935852E-5</v>
      </c>
      <c r="C5" s="448" t="s">
        <v>211</v>
      </c>
      <c r="D5" s="433">
        <f>SUM(D6:D11)</f>
        <v>7.1237033375526256E-5</v>
      </c>
      <c r="E5" s="433">
        <f>SUM(E6:E11)</f>
        <v>2.3865248968500839E-3</v>
      </c>
      <c r="F5" s="446" t="s">
        <v>211</v>
      </c>
      <c r="G5" s="433">
        <f>SUM(G6:G11)</f>
        <v>0.62908916146853011</v>
      </c>
      <c r="H5" s="433">
        <f>SUM(H6:H11)</f>
        <v>0.10854601652678732</v>
      </c>
      <c r="I5" s="448" t="s">
        <v>211</v>
      </c>
      <c r="J5" s="448" t="s">
        <v>211</v>
      </c>
      <c r="K5" s="448" t="s">
        <v>211</v>
      </c>
      <c r="L5" s="448" t="s">
        <v>211</v>
      </c>
      <c r="M5" s="433">
        <f>SUM(M6:M11)</f>
        <v>3.3343267249343118E-2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2.2483921941407672E-5</v>
      </c>
      <c r="C6" s="887"/>
      <c r="D6" s="887">
        <f>vkm_2011_GW_PW*SUMIFS(TableVerdeelsleutelVkm[CNG],TableVerdeelsleutelVkm[Voertuigtype],"Lichte voertuigen")*SUMIFS(TableECFTransport[EnergieConsumptieFactor (PJ per km)],TableECFTransport[Index],CONCATENATE($A6,"_CNG_CNG"))</f>
        <v>3.184163088830172E-5</v>
      </c>
      <c r="E6" s="887">
        <f>vkm_2011_GW_PW*SUMIFS(TableVerdeelsleutelVkm[LPG],TableVerdeelsleutelVkm[Voertuigtype],"Lichte voertuigen")*SUMIFS(TableECFTransport[EnergieConsumptieFactor (PJ per km)],TableECFTransport[Index],CONCATENATE($A6,"_LPG_LPG"))</f>
        <v>1.0000408007852602E-3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0.17973471505755623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4.81613631534826E-2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1.0310746768828042E-2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7.2442393540384675E-2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2.5738031431810344E-5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3.269095956115325E-3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6.1131187029354296E-6</v>
      </c>
      <c r="C8" s="887"/>
      <c r="D8" s="436">
        <f>vkm_2011_NGW_PW*SUMIFS(TableVerdeelsleutelVkm[CNG],TableVerdeelsleutelVkm[Voertuigtype],"Lichte voertuigen")*SUMIFS(TableECFTransport[EnergieConsumptieFactor (PJ per km)],TableECFTransport[Index],CONCATENATE($A8,"_CNG_CNG"))</f>
        <v>1.5423255285155968E-5</v>
      </c>
      <c r="E8" s="436">
        <f>vkm_2011_NGW_PW*SUMIFS(TableVerdeelsleutelVkm[LPG],TableVerdeelsleutelVkm[Voertuigtype],"Lichte voertuigen")*SUMIFS(TableECFTransport[EnergieConsumptieFactor (PJ per km)],TableECFTransport[Index],CONCATENATE($A8,"_LPG_LPG"))</f>
        <v>4.46160096372373E-4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7.5628462748053404E-2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2.2509329361837783E-2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4.4411778668875463E-3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1.7574046663627739E-2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5.9085241181705245E-6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7.9304576952720783E-4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1.6211562602592752E-5</v>
      </c>
      <c r="C10" s="887"/>
      <c r="D10" s="436">
        <f>vkm_2011_SW_PW*SUMIFS(TableVerdeelsleutelVkm[CNG],TableVerdeelsleutelVkm[Voertuigtype],"Lichte voertuigen")*SUMIFS(TableECFTransport[EnergieConsumptieFactor (PJ per km)],TableECFTransport[Index],CONCATENATE($A10,"_CNG_CNG"))</f>
        <v>2.3972147202068575E-5</v>
      </c>
      <c r="E10" s="436">
        <f>vkm_2011_SW_PW*SUMIFS(TableVerdeelsleutelVkm[LPG],TableVerdeelsleutelVkm[Voertuigtype],"Lichte voertuigen")*SUMIFS(TableECFTransport[EnergieConsumptieFactor (PJ per km)],TableECFTransport[Index],CONCATENATE($A10,"_LPG_LPG"))</f>
        <v>9.4032399969245064E-4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0.15305710331853173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3.7793618765107173E-2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8.6331032993335992E-3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0.13065244014037641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5.0058690809781124E-5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5.8960975886514005E-3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12.44683423525996</v>
      </c>
      <c r="C14" s="21"/>
      <c r="D14" s="21">
        <f t="shared" ref="D14:M14" si="0">((D5)*10^9/3600)+D12</f>
        <v>19.78806482653507</v>
      </c>
      <c r="E14" s="21">
        <f t="shared" si="0"/>
        <v>662.92358245835669</v>
      </c>
      <c r="F14" s="21"/>
      <c r="G14" s="21">
        <f t="shared" si="0"/>
        <v>174746.9892968139</v>
      </c>
      <c r="H14" s="21">
        <f t="shared" si="0"/>
        <v>30151.671257440921</v>
      </c>
      <c r="I14" s="21"/>
      <c r="J14" s="21"/>
      <c r="K14" s="21"/>
      <c r="L14" s="21"/>
      <c r="M14" s="21">
        <f t="shared" si="0"/>
        <v>9262.0186803730885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0.21302928446363348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2.6515401909748859</v>
      </c>
      <c r="C18" s="23"/>
      <c r="D18" s="23">
        <f t="shared" ref="D18:M18" si="1">D14*D16</f>
        <v>3.9971890949600843</v>
      </c>
      <c r="E18" s="23">
        <f t="shared" si="1"/>
        <v>150.48365321804698</v>
      </c>
      <c r="F18" s="23"/>
      <c r="G18" s="23">
        <f t="shared" si="1"/>
        <v>46657.446142249311</v>
      </c>
      <c r="H18" s="23">
        <f t="shared" si="1"/>
        <v>7507.7661431027891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8.4135259624133225E-3</v>
      </c>
      <c r="H50" s="323">
        <f t="shared" si="2"/>
        <v>0</v>
      </c>
      <c r="I50" s="323">
        <f t="shared" si="2"/>
        <v>0</v>
      </c>
      <c r="J50" s="323">
        <f t="shared" si="2"/>
        <v>0</v>
      </c>
      <c r="K50" s="323">
        <f t="shared" si="2"/>
        <v>0</v>
      </c>
      <c r="L50" s="323">
        <f t="shared" si="2"/>
        <v>0</v>
      </c>
      <c r="M50" s="323">
        <f t="shared" si="2"/>
        <v>3.7417007832947187E-4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8.4135259624133225E-3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3.7417007832947187E-4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2337.0905451148119</v>
      </c>
      <c r="H54" s="21">
        <f t="shared" si="3"/>
        <v>0</v>
      </c>
      <c r="I54" s="21">
        <f t="shared" si="3"/>
        <v>0</v>
      </c>
      <c r="J54" s="21">
        <f t="shared" si="3"/>
        <v>0</v>
      </c>
      <c r="K54" s="21">
        <f t="shared" si="3"/>
        <v>0</v>
      </c>
      <c r="L54" s="21">
        <f t="shared" si="3"/>
        <v>0</v>
      </c>
      <c r="M54" s="21">
        <f t="shared" si="3"/>
        <v>103.93613286929774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0.21302928446363348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624.00317554565481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72532.581087745042</v>
      </c>
      <c r="D10" s="690">
        <f ca="1">tertiair!C16</f>
        <v>0</v>
      </c>
      <c r="E10" s="690">
        <f ca="1">tertiair!D16</f>
        <v>72924.291756221137</v>
      </c>
      <c r="F10" s="690">
        <f>tertiair!E16</f>
        <v>797.1340857649808</v>
      </c>
      <c r="G10" s="690">
        <f ca="1">tertiair!F16</f>
        <v>13983.954939122725</v>
      </c>
      <c r="H10" s="690">
        <f>tertiair!G16</f>
        <v>0</v>
      </c>
      <c r="I10" s="690">
        <f>tertiair!H16</f>
        <v>0</v>
      </c>
      <c r="J10" s="690">
        <f>tertiair!I16</f>
        <v>0</v>
      </c>
      <c r="K10" s="690">
        <f>tertiair!J16</f>
        <v>0</v>
      </c>
      <c r="L10" s="690">
        <f>tertiair!K16</f>
        <v>0</v>
      </c>
      <c r="M10" s="690">
        <f ca="1">tertiair!L16</f>
        <v>0</v>
      </c>
      <c r="N10" s="690">
        <f>tertiair!M16</f>
        <v>0</v>
      </c>
      <c r="O10" s="690">
        <f ca="1">tertiair!N16</f>
        <v>3990.2669330798408</v>
      </c>
      <c r="P10" s="690">
        <f>tertiair!O16</f>
        <v>1.5633333333333335</v>
      </c>
      <c r="Q10" s="691">
        <f>tertiair!P16</f>
        <v>190.66666666666669</v>
      </c>
      <c r="R10" s="693">
        <f ca="1">SUM(C10:Q10)</f>
        <v>164420.45880193371</v>
      </c>
      <c r="S10" s="67"/>
    </row>
    <row r="11" spans="1:19" s="458" customFormat="1">
      <c r="A11" s="805" t="s">
        <v>225</v>
      </c>
      <c r="B11" s="810"/>
      <c r="C11" s="690">
        <f>huishoudens!B8</f>
        <v>45479.397746583294</v>
      </c>
      <c r="D11" s="690">
        <f>huishoudens!C8</f>
        <v>0</v>
      </c>
      <c r="E11" s="690">
        <f>huishoudens!D8</f>
        <v>152707.21113926178</v>
      </c>
      <c r="F11" s="690">
        <f>huishoudens!E8</f>
        <v>8653.1920634532471</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34865.623252138677</v>
      </c>
      <c r="P11" s="690">
        <f>huishoudens!O8</f>
        <v>318.92</v>
      </c>
      <c r="Q11" s="691">
        <f>huishoudens!P8</f>
        <v>667.33333333333337</v>
      </c>
      <c r="R11" s="693">
        <f>SUM(C11:Q11)</f>
        <v>242691.67753477037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119028.74149710767</v>
      </c>
      <c r="D13" s="690">
        <f>industrie!C18</f>
        <v>525.00000000000011</v>
      </c>
      <c r="E13" s="690">
        <f>industrie!D18</f>
        <v>68868.712819188469</v>
      </c>
      <c r="F13" s="690">
        <f>industrie!E18</f>
        <v>8604.0437932981986</v>
      </c>
      <c r="G13" s="690">
        <f>industrie!F18</f>
        <v>41556.519280997498</v>
      </c>
      <c r="H13" s="690">
        <f>industrie!G18</f>
        <v>0</v>
      </c>
      <c r="I13" s="690">
        <f>industrie!H18</f>
        <v>0</v>
      </c>
      <c r="J13" s="690">
        <f>industrie!I18</f>
        <v>0</v>
      </c>
      <c r="K13" s="690">
        <f>industrie!J18</f>
        <v>190.56988039540974</v>
      </c>
      <c r="L13" s="690">
        <f>industrie!K18</f>
        <v>0</v>
      </c>
      <c r="M13" s="690">
        <f>industrie!L18</f>
        <v>0</v>
      </c>
      <c r="N13" s="690">
        <f>industrie!M18</f>
        <v>0</v>
      </c>
      <c r="O13" s="690">
        <f>industrie!N18</f>
        <v>24485.348283521467</v>
      </c>
      <c r="P13" s="690">
        <f>industrie!O18</f>
        <v>0</v>
      </c>
      <c r="Q13" s="691">
        <f>industrie!P18</f>
        <v>0</v>
      </c>
      <c r="R13" s="693">
        <f>SUM(C13:Q13)</f>
        <v>263258.9355545087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237040.72033143599</v>
      </c>
      <c r="D16" s="725">
        <f t="shared" ref="D16:R16" ca="1" si="0">SUM(D9:D15)</f>
        <v>525.00000000000011</v>
      </c>
      <c r="E16" s="725">
        <f t="shared" ca="1" si="0"/>
        <v>294500.21571467142</v>
      </c>
      <c r="F16" s="725">
        <f t="shared" si="0"/>
        <v>18054.369942516427</v>
      </c>
      <c r="G16" s="725">
        <f t="shared" ca="1" si="0"/>
        <v>55540.474220120224</v>
      </c>
      <c r="H16" s="725">
        <f t="shared" si="0"/>
        <v>0</v>
      </c>
      <c r="I16" s="725">
        <f t="shared" si="0"/>
        <v>0</v>
      </c>
      <c r="J16" s="725">
        <f t="shared" si="0"/>
        <v>0</v>
      </c>
      <c r="K16" s="725">
        <f t="shared" si="0"/>
        <v>190.56988039540974</v>
      </c>
      <c r="L16" s="725">
        <f t="shared" si="0"/>
        <v>0</v>
      </c>
      <c r="M16" s="725">
        <f t="shared" ca="1" si="0"/>
        <v>0</v>
      </c>
      <c r="N16" s="725">
        <f t="shared" si="0"/>
        <v>0</v>
      </c>
      <c r="O16" s="725">
        <f t="shared" ca="1" si="0"/>
        <v>63341.238468739983</v>
      </c>
      <c r="P16" s="725">
        <f t="shared" si="0"/>
        <v>320.48333333333335</v>
      </c>
      <c r="Q16" s="725">
        <f t="shared" si="0"/>
        <v>858</v>
      </c>
      <c r="R16" s="725">
        <f t="shared" ca="1" si="0"/>
        <v>670371.07189121284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2337.0905451148119</v>
      </c>
      <c r="I19" s="690">
        <f>transport!H54</f>
        <v>0</v>
      </c>
      <c r="J19" s="690">
        <f>transport!I54</f>
        <v>0</v>
      </c>
      <c r="K19" s="690">
        <f>transport!J54</f>
        <v>0</v>
      </c>
      <c r="L19" s="690">
        <f>transport!K54</f>
        <v>0</v>
      </c>
      <c r="M19" s="690">
        <f>transport!L54</f>
        <v>0</v>
      </c>
      <c r="N19" s="690">
        <f>transport!M54</f>
        <v>103.93613286929774</v>
      </c>
      <c r="O19" s="690">
        <f>transport!N54</f>
        <v>0</v>
      </c>
      <c r="P19" s="690">
        <f>transport!O54</f>
        <v>0</v>
      </c>
      <c r="Q19" s="691">
        <f>transport!P54</f>
        <v>0</v>
      </c>
      <c r="R19" s="693">
        <f>SUM(C19:Q19)</f>
        <v>2441.0266779841095</v>
      </c>
      <c r="S19" s="67"/>
    </row>
    <row r="20" spans="1:19" s="458" customFormat="1">
      <c r="A20" s="805" t="s">
        <v>307</v>
      </c>
      <c r="B20" s="810"/>
      <c r="C20" s="690">
        <f>transport!B14</f>
        <v>12.44683423525996</v>
      </c>
      <c r="D20" s="690">
        <f>transport!C14</f>
        <v>0</v>
      </c>
      <c r="E20" s="690">
        <f>transport!D14</f>
        <v>19.78806482653507</v>
      </c>
      <c r="F20" s="690">
        <f>transport!E14</f>
        <v>662.92358245835669</v>
      </c>
      <c r="G20" s="690">
        <f>transport!F14</f>
        <v>0</v>
      </c>
      <c r="H20" s="690">
        <f>transport!G14</f>
        <v>174746.9892968139</v>
      </c>
      <c r="I20" s="690">
        <f>transport!H14</f>
        <v>30151.671257440921</v>
      </c>
      <c r="J20" s="690">
        <f>transport!I14</f>
        <v>0</v>
      </c>
      <c r="K20" s="690">
        <f>transport!J14</f>
        <v>0</v>
      </c>
      <c r="L20" s="690">
        <f>transport!K14</f>
        <v>0</v>
      </c>
      <c r="M20" s="690">
        <f>transport!L14</f>
        <v>0</v>
      </c>
      <c r="N20" s="690">
        <f>transport!M14</f>
        <v>9262.0186803730885</v>
      </c>
      <c r="O20" s="690">
        <f>transport!N14</f>
        <v>0</v>
      </c>
      <c r="P20" s="690">
        <f>transport!O14</f>
        <v>0</v>
      </c>
      <c r="Q20" s="691">
        <f>transport!P14</f>
        <v>0</v>
      </c>
      <c r="R20" s="693">
        <f>SUM(C20:Q20)</f>
        <v>214855.83771614809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12.44683423525996</v>
      </c>
      <c r="D22" s="808">
        <f t="shared" ref="D22:R22" si="1">SUM(D18:D21)</f>
        <v>0</v>
      </c>
      <c r="E22" s="808">
        <f t="shared" si="1"/>
        <v>19.78806482653507</v>
      </c>
      <c r="F22" s="808">
        <f t="shared" si="1"/>
        <v>662.92358245835669</v>
      </c>
      <c r="G22" s="808">
        <f t="shared" si="1"/>
        <v>0</v>
      </c>
      <c r="H22" s="808">
        <f t="shared" si="1"/>
        <v>177084.0798419287</v>
      </c>
      <c r="I22" s="808">
        <f t="shared" si="1"/>
        <v>30151.671257440921</v>
      </c>
      <c r="J22" s="808">
        <f t="shared" si="1"/>
        <v>0</v>
      </c>
      <c r="K22" s="808">
        <f t="shared" si="1"/>
        <v>0</v>
      </c>
      <c r="L22" s="808">
        <f t="shared" si="1"/>
        <v>0</v>
      </c>
      <c r="M22" s="808">
        <f t="shared" si="1"/>
        <v>0</v>
      </c>
      <c r="N22" s="808">
        <f t="shared" si="1"/>
        <v>9365.9548132423861</v>
      </c>
      <c r="O22" s="808">
        <f t="shared" si="1"/>
        <v>0</v>
      </c>
      <c r="P22" s="808">
        <f t="shared" si="1"/>
        <v>0</v>
      </c>
      <c r="Q22" s="808">
        <f t="shared" si="1"/>
        <v>0</v>
      </c>
      <c r="R22" s="808">
        <f t="shared" si="1"/>
        <v>217296.86439413219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1365.4215723933628</v>
      </c>
      <c r="D24" s="690">
        <f>+landbouw!C8</f>
        <v>32406.428571428572</v>
      </c>
      <c r="E24" s="690">
        <f>+landbouw!D8</f>
        <v>0</v>
      </c>
      <c r="F24" s="690">
        <f>+landbouw!E8</f>
        <v>17.2060708327867</v>
      </c>
      <c r="G24" s="690">
        <f>+landbouw!F8</f>
        <v>4711.0464832998223</v>
      </c>
      <c r="H24" s="690">
        <f>+landbouw!G8</f>
        <v>0</v>
      </c>
      <c r="I24" s="690">
        <f>+landbouw!H8</f>
        <v>0</v>
      </c>
      <c r="J24" s="690">
        <f>+landbouw!I8</f>
        <v>0</v>
      </c>
      <c r="K24" s="690">
        <f>+landbouw!J8</f>
        <v>205.34388292333381</v>
      </c>
      <c r="L24" s="690">
        <f>+landbouw!K8</f>
        <v>0</v>
      </c>
      <c r="M24" s="690">
        <f>+landbouw!L8</f>
        <v>0</v>
      </c>
      <c r="N24" s="690">
        <f>+landbouw!M8</f>
        <v>0</v>
      </c>
      <c r="O24" s="690">
        <f>+landbouw!N8</f>
        <v>0</v>
      </c>
      <c r="P24" s="690">
        <f>+landbouw!O8</f>
        <v>0</v>
      </c>
      <c r="Q24" s="691">
        <f>+landbouw!P8</f>
        <v>0</v>
      </c>
      <c r="R24" s="693">
        <f>SUM(C24:Q24)</f>
        <v>38705.446580877877</v>
      </c>
      <c r="S24" s="67"/>
    </row>
    <row r="25" spans="1:19" s="458" customFormat="1" ht="15" thickBot="1">
      <c r="A25" s="827" t="s">
        <v>872</v>
      </c>
      <c r="B25" s="1004"/>
      <c r="C25" s="1005">
        <f>IF(Onbekend_ele_kWh="---",0,Onbekend_ele_kWh)/1000+IF(REST_rest_ele_kWh="---",0,REST_rest_ele_kWh)/1000</f>
        <v>1464.54512567544</v>
      </c>
      <c r="D25" s="1005"/>
      <c r="E25" s="1005">
        <f>IF(onbekend_gas_kWh="---",0,onbekend_gas_kWh)/1000+IF(REST_rest_gas_kWh="---",0,REST_rest_gas_kWh)/1000</f>
        <v>5330.11945172369</v>
      </c>
      <c r="F25" s="1005"/>
      <c r="G25" s="1005"/>
      <c r="H25" s="1005"/>
      <c r="I25" s="1005"/>
      <c r="J25" s="1005"/>
      <c r="K25" s="1005"/>
      <c r="L25" s="1005"/>
      <c r="M25" s="1005"/>
      <c r="N25" s="1005"/>
      <c r="O25" s="1005"/>
      <c r="P25" s="1005"/>
      <c r="Q25" s="1006"/>
      <c r="R25" s="693">
        <f>SUM(C25:Q25)</f>
        <v>6794.6645773991295</v>
      </c>
      <c r="S25" s="67"/>
    </row>
    <row r="26" spans="1:19" s="458" customFormat="1" ht="15.75" thickBot="1">
      <c r="A26" s="698" t="s">
        <v>873</v>
      </c>
      <c r="B26" s="813"/>
      <c r="C26" s="808">
        <f>SUM(C24:C25)</f>
        <v>2829.9666980688025</v>
      </c>
      <c r="D26" s="808">
        <f t="shared" ref="D26:R26" si="2">SUM(D24:D25)</f>
        <v>32406.428571428572</v>
      </c>
      <c r="E26" s="808">
        <f t="shared" si="2"/>
        <v>5330.11945172369</v>
      </c>
      <c r="F26" s="808">
        <f t="shared" si="2"/>
        <v>17.2060708327867</v>
      </c>
      <c r="G26" s="808">
        <f t="shared" si="2"/>
        <v>4711.0464832998223</v>
      </c>
      <c r="H26" s="808">
        <f t="shared" si="2"/>
        <v>0</v>
      </c>
      <c r="I26" s="808">
        <f t="shared" si="2"/>
        <v>0</v>
      </c>
      <c r="J26" s="808">
        <f t="shared" si="2"/>
        <v>0</v>
      </c>
      <c r="K26" s="808">
        <f t="shared" si="2"/>
        <v>205.34388292333381</v>
      </c>
      <c r="L26" s="808">
        <f t="shared" si="2"/>
        <v>0</v>
      </c>
      <c r="M26" s="808">
        <f t="shared" si="2"/>
        <v>0</v>
      </c>
      <c r="N26" s="808">
        <f t="shared" si="2"/>
        <v>0</v>
      </c>
      <c r="O26" s="808">
        <f t="shared" si="2"/>
        <v>0</v>
      </c>
      <c r="P26" s="808">
        <f t="shared" si="2"/>
        <v>0</v>
      </c>
      <c r="Q26" s="808">
        <f t="shared" si="2"/>
        <v>0</v>
      </c>
      <c r="R26" s="808">
        <f t="shared" si="2"/>
        <v>45500.11115827701</v>
      </c>
      <c r="S26" s="67"/>
    </row>
    <row r="27" spans="1:19" s="458" customFormat="1" ht="17.25" thickTop="1" thickBot="1">
      <c r="A27" s="699" t="s">
        <v>116</v>
      </c>
      <c r="B27" s="800"/>
      <c r="C27" s="700">
        <f ca="1">C22+C16+C26</f>
        <v>239883.13386374005</v>
      </c>
      <c r="D27" s="700">
        <f t="shared" ref="D27:R27" ca="1" si="3">D22+D16+D26</f>
        <v>32931.428571428572</v>
      </c>
      <c r="E27" s="700">
        <f t="shared" ca="1" si="3"/>
        <v>299850.12323122163</v>
      </c>
      <c r="F27" s="700">
        <f t="shared" si="3"/>
        <v>18734.499595807571</v>
      </c>
      <c r="G27" s="700">
        <f t="shared" ca="1" si="3"/>
        <v>60251.520703420043</v>
      </c>
      <c r="H27" s="700">
        <f t="shared" si="3"/>
        <v>177084.0798419287</v>
      </c>
      <c r="I27" s="700">
        <f t="shared" si="3"/>
        <v>30151.671257440921</v>
      </c>
      <c r="J27" s="700">
        <f t="shared" si="3"/>
        <v>0</v>
      </c>
      <c r="K27" s="700">
        <f t="shared" si="3"/>
        <v>395.91376331874358</v>
      </c>
      <c r="L27" s="700">
        <f t="shared" si="3"/>
        <v>0</v>
      </c>
      <c r="M27" s="700">
        <f t="shared" ca="1" si="3"/>
        <v>0</v>
      </c>
      <c r="N27" s="700">
        <f t="shared" si="3"/>
        <v>9365.9548132423861</v>
      </c>
      <c r="O27" s="700">
        <f t="shared" ca="1" si="3"/>
        <v>63341.238468739983</v>
      </c>
      <c r="P27" s="700">
        <f t="shared" si="3"/>
        <v>320.48333333333335</v>
      </c>
      <c r="Q27" s="700">
        <f t="shared" si="3"/>
        <v>858</v>
      </c>
      <c r="R27" s="700">
        <f t="shared" ca="1" si="3"/>
        <v>933168.04744362202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15451.563849422802</v>
      </c>
      <c r="D40" s="690">
        <f ca="1">tertiair!C20</f>
        <v>0</v>
      </c>
      <c r="E40" s="690">
        <f ca="1">tertiair!D20</f>
        <v>14730.70693475667</v>
      </c>
      <c r="F40" s="690">
        <f>tertiair!E20</f>
        <v>180.94943746865064</v>
      </c>
      <c r="G40" s="690">
        <f ca="1">tertiair!F20</f>
        <v>3733.7159687457679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34096.936190393892</v>
      </c>
    </row>
    <row r="41" spans="1:18">
      <c r="A41" s="818" t="s">
        <v>225</v>
      </c>
      <c r="B41" s="825"/>
      <c r="C41" s="690">
        <f ca="1">huishoudens!B12</f>
        <v>9688.4435597916236</v>
      </c>
      <c r="D41" s="690">
        <f ca="1">huishoudens!C12</f>
        <v>0</v>
      </c>
      <c r="E41" s="690">
        <f>huishoudens!D12</f>
        <v>30846.856650130881</v>
      </c>
      <c r="F41" s="690">
        <f>huishoudens!E12</f>
        <v>1964.2745984038872</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42499.57480832639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25356.607631735642</v>
      </c>
      <c r="D43" s="690">
        <f ca="1">industrie!C22</f>
        <v>124.76470588235298</v>
      </c>
      <c r="E43" s="690">
        <f>industrie!D22</f>
        <v>13911.479989476071</v>
      </c>
      <c r="F43" s="690">
        <f>industrie!E22</f>
        <v>1953.117941078691</v>
      </c>
      <c r="G43" s="690">
        <f>industrie!F22</f>
        <v>11095.590648026333</v>
      </c>
      <c r="H43" s="690">
        <f>industrie!G22</f>
        <v>0</v>
      </c>
      <c r="I43" s="690">
        <f>industrie!H22</f>
        <v>0</v>
      </c>
      <c r="J43" s="690">
        <f>industrie!I22</f>
        <v>0</v>
      </c>
      <c r="K43" s="690">
        <f>industrie!J22</f>
        <v>67.461737659975043</v>
      </c>
      <c r="L43" s="690">
        <f>industrie!K22</f>
        <v>0</v>
      </c>
      <c r="M43" s="690">
        <f>industrie!L22</f>
        <v>0</v>
      </c>
      <c r="N43" s="690">
        <f>industrie!M22</f>
        <v>0</v>
      </c>
      <c r="O43" s="690">
        <f>industrie!N22</f>
        <v>0</v>
      </c>
      <c r="P43" s="690">
        <f>industrie!O22</f>
        <v>0</v>
      </c>
      <c r="Q43" s="767">
        <f>industrie!P22</f>
        <v>0</v>
      </c>
      <c r="R43" s="845">
        <f t="shared" ca="1" si="4"/>
        <v>52509.022653859065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50496.61504095007</v>
      </c>
      <c r="D46" s="725">
        <f t="shared" ref="D46:Q46" ca="1" si="5">SUM(D39:D45)</f>
        <v>124.76470588235298</v>
      </c>
      <c r="E46" s="725">
        <f t="shared" ca="1" si="5"/>
        <v>59489.043574363626</v>
      </c>
      <c r="F46" s="725">
        <f t="shared" si="5"/>
        <v>4098.3419769512293</v>
      </c>
      <c r="G46" s="725">
        <f t="shared" ca="1" si="5"/>
        <v>14829.306616772101</v>
      </c>
      <c r="H46" s="725">
        <f t="shared" si="5"/>
        <v>0</v>
      </c>
      <c r="I46" s="725">
        <f t="shared" si="5"/>
        <v>0</v>
      </c>
      <c r="J46" s="725">
        <f t="shared" si="5"/>
        <v>0</v>
      </c>
      <c r="K46" s="725">
        <f t="shared" si="5"/>
        <v>67.461737659975043</v>
      </c>
      <c r="L46" s="725">
        <f t="shared" si="5"/>
        <v>0</v>
      </c>
      <c r="M46" s="725">
        <f t="shared" ca="1" si="5"/>
        <v>0</v>
      </c>
      <c r="N46" s="725">
        <f t="shared" si="5"/>
        <v>0</v>
      </c>
      <c r="O46" s="725">
        <f t="shared" ca="1" si="5"/>
        <v>0</v>
      </c>
      <c r="P46" s="725">
        <f t="shared" si="5"/>
        <v>0</v>
      </c>
      <c r="Q46" s="725">
        <f t="shared" si="5"/>
        <v>0</v>
      </c>
      <c r="R46" s="725">
        <f ca="1">SUM(R39:R45)</f>
        <v>129105.53365257934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624.00317554565481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624.00317554565481</v>
      </c>
    </row>
    <row r="50" spans="1:18">
      <c r="A50" s="821" t="s">
        <v>307</v>
      </c>
      <c r="B50" s="831"/>
      <c r="C50" s="696">
        <f ca="1">transport!B18</f>
        <v>2.6515401909748859</v>
      </c>
      <c r="D50" s="696">
        <f>transport!C18</f>
        <v>0</v>
      </c>
      <c r="E50" s="696">
        <f>transport!D18</f>
        <v>3.9971890949600843</v>
      </c>
      <c r="F50" s="696">
        <f>transport!E18</f>
        <v>150.48365321804698</v>
      </c>
      <c r="G50" s="696">
        <f>transport!F18</f>
        <v>0</v>
      </c>
      <c r="H50" s="696">
        <f>transport!G18</f>
        <v>46657.446142249311</v>
      </c>
      <c r="I50" s="696">
        <f>transport!H18</f>
        <v>7507.7661431027891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54322.344667856079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2.6515401909748859</v>
      </c>
      <c r="D52" s="725">
        <f t="shared" ref="D52:Q52" ca="1" si="6">SUM(D48:D51)</f>
        <v>0</v>
      </c>
      <c r="E52" s="725">
        <f t="shared" si="6"/>
        <v>3.9971890949600843</v>
      </c>
      <c r="F52" s="725">
        <f t="shared" si="6"/>
        <v>150.48365321804698</v>
      </c>
      <c r="G52" s="725">
        <f t="shared" si="6"/>
        <v>0</v>
      </c>
      <c r="H52" s="725">
        <f t="shared" si="6"/>
        <v>47281.449317794963</v>
      </c>
      <c r="I52" s="725">
        <f t="shared" si="6"/>
        <v>7507.7661431027891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54946.347843401731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290.8747805581674</v>
      </c>
      <c r="D54" s="696">
        <f ca="1">+landbouw!C12</f>
        <v>7701.2924369747907</v>
      </c>
      <c r="E54" s="696">
        <f>+landbouw!D12</f>
        <v>0</v>
      </c>
      <c r="F54" s="696">
        <f>+landbouw!E12</f>
        <v>3.9057780790425811</v>
      </c>
      <c r="G54" s="696">
        <f>+landbouw!F12</f>
        <v>1257.8494110410527</v>
      </c>
      <c r="H54" s="696">
        <f>+landbouw!G12</f>
        <v>0</v>
      </c>
      <c r="I54" s="696">
        <f>+landbouw!H12</f>
        <v>0</v>
      </c>
      <c r="J54" s="696">
        <f>+landbouw!I12</f>
        <v>0</v>
      </c>
      <c r="K54" s="696">
        <f>+landbouw!J12</f>
        <v>72.691734554860162</v>
      </c>
      <c r="L54" s="696">
        <f>+landbouw!K12</f>
        <v>0</v>
      </c>
      <c r="M54" s="696">
        <f>+landbouw!L12</f>
        <v>0</v>
      </c>
      <c r="N54" s="696">
        <f>+landbouw!M12</f>
        <v>0</v>
      </c>
      <c r="O54" s="696">
        <f>+landbouw!N12</f>
        <v>0</v>
      </c>
      <c r="P54" s="696">
        <f>+landbouw!O12</f>
        <v>0</v>
      </c>
      <c r="Q54" s="697">
        <f>+landbouw!P12</f>
        <v>0</v>
      </c>
      <c r="R54" s="724">
        <f ca="1">SUM(C54:Q54)</f>
        <v>9326.6141412079141</v>
      </c>
    </row>
    <row r="55" spans="1:18" ht="15" thickBot="1">
      <c r="A55" s="821" t="s">
        <v>872</v>
      </c>
      <c r="B55" s="831"/>
      <c r="C55" s="696">
        <f ca="1">C25*'EF ele_warmte'!B12</f>
        <v>311.99100018734117</v>
      </c>
      <c r="D55" s="696"/>
      <c r="E55" s="696">
        <f>E25*EF_CO2_aardgas</f>
        <v>1076.6841292481854</v>
      </c>
      <c r="F55" s="696"/>
      <c r="G55" s="696"/>
      <c r="H55" s="696"/>
      <c r="I55" s="696"/>
      <c r="J55" s="696"/>
      <c r="K55" s="696"/>
      <c r="L55" s="696"/>
      <c r="M55" s="696"/>
      <c r="N55" s="696"/>
      <c r="O55" s="696"/>
      <c r="P55" s="696"/>
      <c r="Q55" s="697"/>
      <c r="R55" s="724">
        <f ca="1">SUM(C55:Q55)</f>
        <v>1388.6751294355265</v>
      </c>
    </row>
    <row r="56" spans="1:18" ht="15.75" thickBot="1">
      <c r="A56" s="819" t="s">
        <v>873</v>
      </c>
      <c r="B56" s="832"/>
      <c r="C56" s="725">
        <f ca="1">SUM(C54:C55)</f>
        <v>602.86578074550857</v>
      </c>
      <c r="D56" s="725">
        <f t="shared" ref="D56:Q56" ca="1" si="7">SUM(D54:D55)</f>
        <v>7701.2924369747907</v>
      </c>
      <c r="E56" s="725">
        <f t="shared" si="7"/>
        <v>1076.6841292481854</v>
      </c>
      <c r="F56" s="725">
        <f t="shared" si="7"/>
        <v>3.9057780790425811</v>
      </c>
      <c r="G56" s="725">
        <f t="shared" si="7"/>
        <v>1257.8494110410527</v>
      </c>
      <c r="H56" s="725">
        <f t="shared" si="7"/>
        <v>0</v>
      </c>
      <c r="I56" s="725">
        <f t="shared" si="7"/>
        <v>0</v>
      </c>
      <c r="J56" s="725">
        <f t="shared" si="7"/>
        <v>0</v>
      </c>
      <c r="K56" s="725">
        <f t="shared" si="7"/>
        <v>72.691734554860162</v>
      </c>
      <c r="L56" s="725">
        <f t="shared" si="7"/>
        <v>0</v>
      </c>
      <c r="M56" s="725">
        <f t="shared" si="7"/>
        <v>0</v>
      </c>
      <c r="N56" s="725">
        <f t="shared" si="7"/>
        <v>0</v>
      </c>
      <c r="O56" s="725">
        <f t="shared" si="7"/>
        <v>0</v>
      </c>
      <c r="P56" s="725">
        <f t="shared" si="7"/>
        <v>0</v>
      </c>
      <c r="Q56" s="726">
        <f t="shared" si="7"/>
        <v>0</v>
      </c>
      <c r="R56" s="727">
        <f ca="1">SUM(R54:R55)</f>
        <v>10715.289270643441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51102.132361886557</v>
      </c>
      <c r="D61" s="733">
        <f t="shared" ref="D61:Q61" ca="1" si="8">D46+D52+D56</f>
        <v>7826.0571428571438</v>
      </c>
      <c r="E61" s="733">
        <f t="shared" ca="1" si="8"/>
        <v>60569.72489270677</v>
      </c>
      <c r="F61" s="733">
        <f t="shared" si="8"/>
        <v>4252.731408248319</v>
      </c>
      <c r="G61" s="733">
        <f t="shared" ca="1" si="8"/>
        <v>16087.156027813153</v>
      </c>
      <c r="H61" s="733">
        <f t="shared" si="8"/>
        <v>47281.449317794963</v>
      </c>
      <c r="I61" s="733">
        <f t="shared" si="8"/>
        <v>7507.7661431027891</v>
      </c>
      <c r="J61" s="733">
        <f t="shared" si="8"/>
        <v>0</v>
      </c>
      <c r="K61" s="733">
        <f t="shared" si="8"/>
        <v>140.1534722148352</v>
      </c>
      <c r="L61" s="733">
        <f t="shared" si="8"/>
        <v>0</v>
      </c>
      <c r="M61" s="733">
        <f t="shared" ca="1" si="8"/>
        <v>0</v>
      </c>
      <c r="N61" s="733">
        <f t="shared" si="8"/>
        <v>0</v>
      </c>
      <c r="O61" s="733">
        <f t="shared" ca="1" si="8"/>
        <v>0</v>
      </c>
      <c r="P61" s="733">
        <f t="shared" si="8"/>
        <v>0</v>
      </c>
      <c r="Q61" s="733">
        <f t="shared" si="8"/>
        <v>0</v>
      </c>
      <c r="R61" s="733">
        <f ca="1">R46+R52+R56</f>
        <v>194767.17076662451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0.21302928446363351</v>
      </c>
      <c r="D63" s="776">
        <f t="shared" ca="1" si="9"/>
        <v>0.23764705882352943</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9488.1820000000007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23052</v>
      </c>
      <c r="D76" s="1021">
        <f>'lokale energieproductie'!C8</f>
        <v>27120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5478.2400000000007</v>
      </c>
      <c r="R76" s="848">
        <v>0</v>
      </c>
    </row>
    <row r="77" spans="1:18" ht="30.75" thickBot="1">
      <c r="A77" s="746" t="s">
        <v>353</v>
      </c>
      <c r="B77" s="743">
        <f>'lokale energieproductie'!B9*IFERROR(SUM(I77:O77)/SUM(D77:O77),0)</f>
        <v>900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2571.4285714285716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10388.182000000001</v>
      </c>
      <c r="C78" s="748">
        <f>SUM(C72:C77)</f>
        <v>23052</v>
      </c>
      <c r="D78" s="749">
        <f t="shared" ref="D78:H78" si="10">SUM(D76:D77)</f>
        <v>27120</v>
      </c>
      <c r="E78" s="749">
        <f t="shared" si="10"/>
        <v>0</v>
      </c>
      <c r="F78" s="749">
        <f t="shared" si="10"/>
        <v>0</v>
      </c>
      <c r="G78" s="749">
        <f t="shared" si="10"/>
        <v>0</v>
      </c>
      <c r="H78" s="749">
        <f t="shared" si="10"/>
        <v>0</v>
      </c>
      <c r="I78" s="749">
        <f>SUM(I76:I77)</f>
        <v>0</v>
      </c>
      <c r="J78" s="749">
        <f>SUM(J76:J77)</f>
        <v>2571.4285714285716</v>
      </c>
      <c r="K78" s="749">
        <f t="shared" ref="K78:L78" si="11">SUM(K76:K77)</f>
        <v>0</v>
      </c>
      <c r="L78" s="749">
        <f t="shared" si="11"/>
        <v>0</v>
      </c>
      <c r="M78" s="749">
        <f>SUM(M76:M77)</f>
        <v>0</v>
      </c>
      <c r="N78" s="749">
        <f>SUM(N76:N77)</f>
        <v>0</v>
      </c>
      <c r="O78" s="856">
        <f>SUM(O76:O77)</f>
        <v>0</v>
      </c>
      <c r="P78" s="750">
        <v>0</v>
      </c>
      <c r="Q78" s="750">
        <f>SUM(Q76:Q77)</f>
        <v>5478.2400000000007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32931.428571428572</v>
      </c>
      <c r="D87" s="770">
        <f>'lokale energieproductie'!C17</f>
        <v>38742.857142857145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7826.0571428571438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32931.428571428572</v>
      </c>
      <c r="D90" s="748">
        <f t="shared" ref="D90:H90" si="12">SUM(D87:D89)</f>
        <v>38742.857142857145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7826.0571428571438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9488.1820000000007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23052</v>
      </c>
      <c r="C8" s="560">
        <f>B101</f>
        <v>27120</v>
      </c>
      <c r="D8" s="1028"/>
      <c r="E8" s="1028">
        <f>E101</f>
        <v>0</v>
      </c>
      <c r="F8" s="1029"/>
      <c r="G8" s="561"/>
      <c r="H8" s="1028">
        <f>I101</f>
        <v>0</v>
      </c>
      <c r="I8" s="1028">
        <f>G101+F101</f>
        <v>0</v>
      </c>
      <c r="J8" s="1028">
        <f>H101+D101+C101</f>
        <v>0</v>
      </c>
      <c r="K8" s="1028"/>
      <c r="L8" s="1028"/>
      <c r="M8" s="1028"/>
      <c r="N8" s="562"/>
      <c r="O8" s="563">
        <f>C8*$C$12+D8*$D$12+E8*$E$12+F8*$F$12+G8*$G$12+H8*$H$12+I8*$I$12+J8*$J$12</f>
        <v>5478.2400000000007</v>
      </c>
      <c r="P8" s="1245"/>
      <c r="Q8" s="1246"/>
      <c r="S8" s="1040"/>
      <c r="T8" s="1266"/>
      <c r="U8" s="1266"/>
    </row>
    <row r="9" spans="1:21" s="548" customFormat="1" ht="17.45" customHeight="1" thickBot="1">
      <c r="A9" s="564" t="s">
        <v>248</v>
      </c>
      <c r="B9" s="565">
        <f>N89+'Eigen informatie GS &amp; warmtenet'!B12</f>
        <v>900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33440.182000000001</v>
      </c>
      <c r="C10" s="573">
        <f t="shared" ref="C10:L10" si="0">SUM(C8:C9)</f>
        <v>27120</v>
      </c>
      <c r="D10" s="573">
        <f t="shared" si="0"/>
        <v>0</v>
      </c>
      <c r="E10" s="573">
        <f t="shared" si="0"/>
        <v>0</v>
      </c>
      <c r="F10" s="573">
        <f t="shared" si="0"/>
        <v>0</v>
      </c>
      <c r="G10" s="573">
        <f t="shared" si="0"/>
        <v>0</v>
      </c>
      <c r="H10" s="573">
        <f t="shared" si="0"/>
        <v>0</v>
      </c>
      <c r="I10" s="573">
        <f t="shared" si="0"/>
        <v>0</v>
      </c>
      <c r="J10" s="573">
        <f t="shared" si="0"/>
        <v>2571.4285714285716</v>
      </c>
      <c r="K10" s="573">
        <f t="shared" si="0"/>
        <v>0</v>
      </c>
      <c r="L10" s="573">
        <f t="shared" si="0"/>
        <v>0</v>
      </c>
      <c r="M10" s="1031"/>
      <c r="N10" s="1031"/>
      <c r="O10" s="574">
        <f>SUM(O4:O9)</f>
        <v>5478.2400000000007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32931.428571428572</v>
      </c>
      <c r="C17" s="585">
        <f>B102</f>
        <v>38742.857142857145</v>
      </c>
      <c r="D17" s="586"/>
      <c r="E17" s="586">
        <f>E102</f>
        <v>0</v>
      </c>
      <c r="F17" s="1034"/>
      <c r="G17" s="587"/>
      <c r="H17" s="585">
        <f>I102</f>
        <v>0</v>
      </c>
      <c r="I17" s="586">
        <f>G102+F102</f>
        <v>0</v>
      </c>
      <c r="J17" s="586">
        <f>H102+D102+C102</f>
        <v>0</v>
      </c>
      <c r="K17" s="586"/>
      <c r="L17" s="586"/>
      <c r="M17" s="586"/>
      <c r="N17" s="1035"/>
      <c r="O17" s="588">
        <f>C17*$C$22+E17*$E$22+H17*$H$22+I17*$I$22+J17*$J$22+D17*$D$22+F17*$F$22+G17*$G$22+K17*$K$22+L17*$L$22</f>
        <v>7826.0571428571438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32931.428571428572</v>
      </c>
      <c r="C20" s="572">
        <f>SUM(C17:C19)</f>
        <v>38742.857142857145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7826.0571428571438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13011</v>
      </c>
      <c r="C28" s="791">
        <v>2200</v>
      </c>
      <c r="D28" s="644" t="s">
        <v>913</v>
      </c>
      <c r="E28" s="643" t="s">
        <v>914</v>
      </c>
      <c r="F28" s="643" t="s">
        <v>915</v>
      </c>
      <c r="G28" s="643" t="s">
        <v>916</v>
      </c>
      <c r="H28" s="643" t="s">
        <v>917</v>
      </c>
      <c r="I28" s="643" t="s">
        <v>914</v>
      </c>
      <c r="J28" s="790">
        <v>41323</v>
      </c>
      <c r="K28" s="790">
        <v>39511</v>
      </c>
      <c r="L28" s="643" t="s">
        <v>918</v>
      </c>
      <c r="M28" s="643">
        <v>5041</v>
      </c>
      <c r="N28" s="643">
        <v>22684.5</v>
      </c>
      <c r="O28" s="643">
        <v>32406.428571428572</v>
      </c>
      <c r="P28" s="643">
        <v>64812.857142857145</v>
      </c>
      <c r="Q28" s="643">
        <v>0</v>
      </c>
      <c r="R28" s="643">
        <v>0</v>
      </c>
      <c r="S28" s="643">
        <v>0</v>
      </c>
      <c r="T28" s="643">
        <v>0</v>
      </c>
      <c r="U28" s="643">
        <v>0</v>
      </c>
      <c r="V28" s="643">
        <v>0</v>
      </c>
      <c r="W28" s="643">
        <v>0</v>
      </c>
      <c r="X28" s="643">
        <v>10</v>
      </c>
      <c r="Y28" s="643" t="s">
        <v>112</v>
      </c>
      <c r="Z28" s="645" t="s">
        <v>112</v>
      </c>
    </row>
    <row r="29" spans="1:26" s="597" customFormat="1" ht="38.25">
      <c r="A29" s="596"/>
      <c r="B29" s="791">
        <v>13011</v>
      </c>
      <c r="C29" s="791">
        <v>2200</v>
      </c>
      <c r="D29" s="644" t="s">
        <v>919</v>
      </c>
      <c r="E29" s="643" t="s">
        <v>920</v>
      </c>
      <c r="F29" s="643" t="s">
        <v>921</v>
      </c>
      <c r="G29" s="643" t="s">
        <v>916</v>
      </c>
      <c r="H29" s="643" t="s">
        <v>917</v>
      </c>
      <c r="I29" s="643" t="s">
        <v>920</v>
      </c>
      <c r="J29" s="790">
        <v>41326</v>
      </c>
      <c r="K29" s="790">
        <v>41395</v>
      </c>
      <c r="L29" s="643" t="s">
        <v>918</v>
      </c>
      <c r="M29" s="643">
        <v>140</v>
      </c>
      <c r="N29" s="643">
        <v>367.50000000000006</v>
      </c>
      <c r="O29" s="643">
        <v>525.00000000000011</v>
      </c>
      <c r="P29" s="643">
        <v>1050.0000000000002</v>
      </c>
      <c r="Q29" s="643">
        <v>0</v>
      </c>
      <c r="R29" s="643">
        <v>0</v>
      </c>
      <c r="S29" s="643">
        <v>0</v>
      </c>
      <c r="T29" s="643">
        <v>0</v>
      </c>
      <c r="U29" s="643">
        <v>0</v>
      </c>
      <c r="V29" s="643">
        <v>0</v>
      </c>
      <c r="W29" s="643">
        <v>0</v>
      </c>
      <c r="X29" s="643">
        <v>800</v>
      </c>
      <c r="Y29" s="643" t="s">
        <v>36</v>
      </c>
      <c r="Z29" s="645" t="s">
        <v>390</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5181</v>
      </c>
      <c r="N58" s="601">
        <f>SUM(N28:N57)</f>
        <v>23052</v>
      </c>
      <c r="O58" s="601">
        <f t="shared" ref="O58:W58" si="2">SUM(O28:O57)</f>
        <v>32931.428571428572</v>
      </c>
      <c r="P58" s="601">
        <f t="shared" si="2"/>
        <v>65862.857142857145</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140</v>
      </c>
      <c r="N59" s="601">
        <f t="shared" si="3"/>
        <v>367.50000000000006</v>
      </c>
      <c r="O59" s="601">
        <f t="shared" si="3"/>
        <v>525.00000000000011</v>
      </c>
      <c r="P59" s="601">
        <f t="shared" si="3"/>
        <v>1050.0000000000002</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5041</v>
      </c>
      <c r="N61" s="606">
        <f t="shared" si="4"/>
        <v>22684.5</v>
      </c>
      <c r="O61" s="606">
        <f t="shared" si="4"/>
        <v>32406.428571428572</v>
      </c>
      <c r="P61" s="606">
        <f t="shared" si="4"/>
        <v>64812.857142857145</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13011</v>
      </c>
      <c r="C64" s="791">
        <v>2200</v>
      </c>
      <c r="D64" s="646" t="s">
        <v>922</v>
      </c>
      <c r="E64" s="646" t="s">
        <v>923</v>
      </c>
      <c r="F64" s="646" t="s">
        <v>924</v>
      </c>
      <c r="G64" s="646" t="s">
        <v>925</v>
      </c>
      <c r="H64" s="646" t="s">
        <v>926</v>
      </c>
      <c r="I64" s="646" t="s">
        <v>927</v>
      </c>
      <c r="J64" s="790">
        <v>39217</v>
      </c>
      <c r="K64" s="790">
        <v>39227</v>
      </c>
      <c r="L64" s="646" t="s">
        <v>928</v>
      </c>
      <c r="M64" s="646">
        <v>200</v>
      </c>
      <c r="N64" s="646">
        <v>900</v>
      </c>
      <c r="O64" s="646">
        <v>0</v>
      </c>
      <c r="P64" s="646">
        <v>0</v>
      </c>
      <c r="Q64" s="646">
        <v>2571.4285714285716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200</v>
      </c>
      <c r="N89" s="601">
        <f t="shared" ref="N89:W89" si="5">SUM(N64:N88)</f>
        <v>900</v>
      </c>
      <c r="O89" s="601">
        <f t="shared" si="5"/>
        <v>0</v>
      </c>
      <c r="P89" s="601">
        <f t="shared" si="5"/>
        <v>0</v>
      </c>
      <c r="Q89" s="601">
        <f t="shared" si="5"/>
        <v>2571.4285714285716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200</v>
      </c>
      <c r="N91" s="601">
        <f t="shared" si="7"/>
        <v>900</v>
      </c>
      <c r="O91" s="601">
        <f t="shared" si="7"/>
        <v>0</v>
      </c>
      <c r="P91" s="601">
        <f t="shared" si="7"/>
        <v>0</v>
      </c>
      <c r="Q91" s="601">
        <f t="shared" si="7"/>
        <v>2571.4285714285716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27120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38742.857142857145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45479.397746583294</v>
      </c>
      <c r="C4" s="462">
        <f>huishoudens!C8</f>
        <v>0</v>
      </c>
      <c r="D4" s="462">
        <f>huishoudens!D8</f>
        <v>152707.21113926178</v>
      </c>
      <c r="E4" s="462">
        <f>huishoudens!E8</f>
        <v>8653.1920634532471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34865.623252138677</v>
      </c>
      <c r="O4" s="462">
        <f>huishoudens!O8</f>
        <v>318.92</v>
      </c>
      <c r="P4" s="463">
        <f>huishoudens!P8</f>
        <v>667.33333333333337</v>
      </c>
      <c r="Q4" s="464">
        <f>SUM(B4:P4)</f>
        <v>242691.67753477037</v>
      </c>
    </row>
    <row r="5" spans="1:17">
      <c r="A5" s="461" t="s">
        <v>156</v>
      </c>
      <c r="B5" s="462">
        <f ca="1">tertiair!B16</f>
        <v>71166.033087745047</v>
      </c>
      <c r="C5" s="462">
        <f ca="1">tertiair!C16</f>
        <v>0</v>
      </c>
      <c r="D5" s="462">
        <f ca="1">tertiair!D16</f>
        <v>72924.291756221137</v>
      </c>
      <c r="E5" s="462">
        <f>tertiair!E16</f>
        <v>797.1340857649808</v>
      </c>
      <c r="F5" s="462">
        <f ca="1">tertiair!F16</f>
        <v>13983.954939122725</v>
      </c>
      <c r="G5" s="462">
        <f>tertiair!G16</f>
        <v>0</v>
      </c>
      <c r="H5" s="462">
        <f>tertiair!H16</f>
        <v>0</v>
      </c>
      <c r="I5" s="462">
        <f>tertiair!I16</f>
        <v>0</v>
      </c>
      <c r="J5" s="462">
        <f>tertiair!J16</f>
        <v>0</v>
      </c>
      <c r="K5" s="462">
        <f>tertiair!K16</f>
        <v>0</v>
      </c>
      <c r="L5" s="462">
        <f ca="1">tertiair!L16</f>
        <v>0</v>
      </c>
      <c r="M5" s="462">
        <f>tertiair!M16</f>
        <v>0</v>
      </c>
      <c r="N5" s="462">
        <f ca="1">tertiair!N16</f>
        <v>3990.2669330798408</v>
      </c>
      <c r="O5" s="462">
        <f>tertiair!O16</f>
        <v>1.5633333333333335</v>
      </c>
      <c r="P5" s="463">
        <f>tertiair!P16</f>
        <v>190.66666666666669</v>
      </c>
      <c r="Q5" s="461">
        <f t="shared" ref="Q5:Q14" ca="1" si="0">SUM(B5:P5)</f>
        <v>163053.9108019337</v>
      </c>
    </row>
    <row r="6" spans="1:17">
      <c r="A6" s="461" t="s">
        <v>194</v>
      </c>
      <c r="B6" s="462">
        <f>'openbare verlichting'!B8</f>
        <v>1366.548</v>
      </c>
      <c r="C6" s="462"/>
      <c r="D6" s="462"/>
      <c r="E6" s="462"/>
      <c r="F6" s="462"/>
      <c r="G6" s="462"/>
      <c r="H6" s="462"/>
      <c r="I6" s="462"/>
      <c r="J6" s="462"/>
      <c r="K6" s="462"/>
      <c r="L6" s="462"/>
      <c r="M6" s="462"/>
      <c r="N6" s="462"/>
      <c r="O6" s="462"/>
      <c r="P6" s="463"/>
      <c r="Q6" s="461">
        <f t="shared" si="0"/>
        <v>1366.548</v>
      </c>
    </row>
    <row r="7" spans="1:17">
      <c r="A7" s="461" t="s">
        <v>112</v>
      </c>
      <c r="B7" s="462">
        <f>landbouw!B8</f>
        <v>1365.4215723933628</v>
      </c>
      <c r="C7" s="462">
        <f>landbouw!C8</f>
        <v>32406.428571428572</v>
      </c>
      <c r="D7" s="462">
        <f>landbouw!D8</f>
        <v>0</v>
      </c>
      <c r="E7" s="462">
        <f>landbouw!E8</f>
        <v>17.2060708327867</v>
      </c>
      <c r="F7" s="462">
        <f>landbouw!F8</f>
        <v>4711.0464832998223</v>
      </c>
      <c r="G7" s="462">
        <f>landbouw!G8</f>
        <v>0</v>
      </c>
      <c r="H7" s="462">
        <f>landbouw!H8</f>
        <v>0</v>
      </c>
      <c r="I7" s="462">
        <f>landbouw!I8</f>
        <v>0</v>
      </c>
      <c r="J7" s="462">
        <f>landbouw!J8</f>
        <v>205.34388292333381</v>
      </c>
      <c r="K7" s="462">
        <f>landbouw!K8</f>
        <v>0</v>
      </c>
      <c r="L7" s="462">
        <f>landbouw!L8</f>
        <v>0</v>
      </c>
      <c r="M7" s="462">
        <f>landbouw!M8</f>
        <v>0</v>
      </c>
      <c r="N7" s="462">
        <f>landbouw!N8</f>
        <v>0</v>
      </c>
      <c r="O7" s="462">
        <f>landbouw!O8</f>
        <v>0</v>
      </c>
      <c r="P7" s="463">
        <f>landbouw!P8</f>
        <v>0</v>
      </c>
      <c r="Q7" s="461">
        <f t="shared" si="0"/>
        <v>38705.446580877877</v>
      </c>
    </row>
    <row r="8" spans="1:17">
      <c r="A8" s="461" t="s">
        <v>657</v>
      </c>
      <c r="B8" s="462">
        <f>industrie!B18</f>
        <v>119028.74149710767</v>
      </c>
      <c r="C8" s="462">
        <f>industrie!C18</f>
        <v>525.00000000000011</v>
      </c>
      <c r="D8" s="462">
        <f>industrie!D18</f>
        <v>68868.712819188469</v>
      </c>
      <c r="E8" s="462">
        <f>industrie!E18</f>
        <v>8604.0437932981986</v>
      </c>
      <c r="F8" s="462">
        <f>industrie!F18</f>
        <v>41556.519280997498</v>
      </c>
      <c r="G8" s="462">
        <f>industrie!G18</f>
        <v>0</v>
      </c>
      <c r="H8" s="462">
        <f>industrie!H18</f>
        <v>0</v>
      </c>
      <c r="I8" s="462">
        <f>industrie!I18</f>
        <v>0</v>
      </c>
      <c r="J8" s="462">
        <f>industrie!J18</f>
        <v>190.56988039540974</v>
      </c>
      <c r="K8" s="462">
        <f>industrie!K18</f>
        <v>0</v>
      </c>
      <c r="L8" s="462">
        <f>industrie!L18</f>
        <v>0</v>
      </c>
      <c r="M8" s="462">
        <f>industrie!M18</f>
        <v>0</v>
      </c>
      <c r="N8" s="462">
        <f>industrie!N18</f>
        <v>24485.348283521467</v>
      </c>
      <c r="O8" s="462">
        <f>industrie!O18</f>
        <v>0</v>
      </c>
      <c r="P8" s="463">
        <f>industrie!P18</f>
        <v>0</v>
      </c>
      <c r="Q8" s="461">
        <f t="shared" si="0"/>
        <v>263258.9355545087</v>
      </c>
    </row>
    <row r="9" spans="1:17" s="467" customFormat="1">
      <c r="A9" s="465" t="s">
        <v>574</v>
      </c>
      <c r="B9" s="466">
        <f>transport!B14</f>
        <v>12.44683423525996</v>
      </c>
      <c r="C9" s="466">
        <f>transport!C14</f>
        <v>0</v>
      </c>
      <c r="D9" s="466">
        <f>transport!D14</f>
        <v>19.78806482653507</v>
      </c>
      <c r="E9" s="466">
        <f>transport!E14</f>
        <v>662.92358245835669</v>
      </c>
      <c r="F9" s="466">
        <f>transport!F14</f>
        <v>0</v>
      </c>
      <c r="G9" s="466">
        <f>transport!G14</f>
        <v>174746.9892968139</v>
      </c>
      <c r="H9" s="466">
        <f>transport!H14</f>
        <v>30151.671257440921</v>
      </c>
      <c r="I9" s="466">
        <f>transport!I14</f>
        <v>0</v>
      </c>
      <c r="J9" s="466">
        <f>transport!J14</f>
        <v>0</v>
      </c>
      <c r="K9" s="466">
        <f>transport!K14</f>
        <v>0</v>
      </c>
      <c r="L9" s="466">
        <f>transport!L14</f>
        <v>0</v>
      </c>
      <c r="M9" s="466">
        <f>transport!M14</f>
        <v>9262.0186803730885</v>
      </c>
      <c r="N9" s="466">
        <f>transport!N14</f>
        <v>0</v>
      </c>
      <c r="O9" s="466">
        <f>transport!O14</f>
        <v>0</v>
      </c>
      <c r="P9" s="466">
        <f>transport!P14</f>
        <v>0</v>
      </c>
      <c r="Q9" s="465">
        <f>SUM(B9:P9)</f>
        <v>214855.83771614809</v>
      </c>
    </row>
    <row r="10" spans="1:17">
      <c r="A10" s="461" t="s">
        <v>564</v>
      </c>
      <c r="B10" s="462">
        <f>transport!B54</f>
        <v>0</v>
      </c>
      <c r="C10" s="462">
        <f>transport!C54</f>
        <v>0</v>
      </c>
      <c r="D10" s="462">
        <f>transport!D54</f>
        <v>0</v>
      </c>
      <c r="E10" s="462">
        <f>transport!E54</f>
        <v>0</v>
      </c>
      <c r="F10" s="462">
        <f>transport!F54</f>
        <v>0</v>
      </c>
      <c r="G10" s="462">
        <f>transport!G54</f>
        <v>2337.0905451148119</v>
      </c>
      <c r="H10" s="462">
        <f>transport!H54</f>
        <v>0</v>
      </c>
      <c r="I10" s="462">
        <f>transport!I54</f>
        <v>0</v>
      </c>
      <c r="J10" s="462">
        <f>transport!J54</f>
        <v>0</v>
      </c>
      <c r="K10" s="462">
        <f>transport!K54</f>
        <v>0</v>
      </c>
      <c r="L10" s="462">
        <f>transport!L54</f>
        <v>0</v>
      </c>
      <c r="M10" s="462">
        <f>transport!M54</f>
        <v>103.93613286929774</v>
      </c>
      <c r="N10" s="462">
        <f>transport!N54</f>
        <v>0</v>
      </c>
      <c r="O10" s="462">
        <f>transport!O54</f>
        <v>0</v>
      </c>
      <c r="P10" s="463">
        <f>transport!P54</f>
        <v>0</v>
      </c>
      <c r="Q10" s="461">
        <f t="shared" si="0"/>
        <v>2441.0266779841095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1464.54512567544</v>
      </c>
      <c r="C14" s="469"/>
      <c r="D14" s="469">
        <f>'SEAP template'!E25</f>
        <v>5330.11945172369</v>
      </c>
      <c r="E14" s="469"/>
      <c r="F14" s="469"/>
      <c r="G14" s="469"/>
      <c r="H14" s="469"/>
      <c r="I14" s="469"/>
      <c r="J14" s="469"/>
      <c r="K14" s="469"/>
      <c r="L14" s="469"/>
      <c r="M14" s="469"/>
      <c r="N14" s="469"/>
      <c r="O14" s="469"/>
      <c r="P14" s="470"/>
      <c r="Q14" s="461">
        <f t="shared" si="0"/>
        <v>6794.6645773991295</v>
      </c>
    </row>
    <row r="15" spans="1:17" s="474" customFormat="1">
      <c r="A15" s="471" t="s">
        <v>568</v>
      </c>
      <c r="B15" s="472">
        <f ca="1">SUM(B4:B14)</f>
        <v>239883.13386374005</v>
      </c>
      <c r="C15" s="472">
        <f t="shared" ref="C15:Q15" ca="1" si="1">SUM(C4:C14)</f>
        <v>32931.428571428572</v>
      </c>
      <c r="D15" s="472">
        <f t="shared" ca="1" si="1"/>
        <v>299850.12323122163</v>
      </c>
      <c r="E15" s="472">
        <f t="shared" si="1"/>
        <v>18734.499595807571</v>
      </c>
      <c r="F15" s="472">
        <f t="shared" ca="1" si="1"/>
        <v>60251.520703420043</v>
      </c>
      <c r="G15" s="472">
        <f t="shared" si="1"/>
        <v>177084.0798419287</v>
      </c>
      <c r="H15" s="472">
        <f t="shared" si="1"/>
        <v>30151.671257440921</v>
      </c>
      <c r="I15" s="472">
        <f t="shared" si="1"/>
        <v>0</v>
      </c>
      <c r="J15" s="472">
        <f t="shared" si="1"/>
        <v>395.91376331874358</v>
      </c>
      <c r="K15" s="472">
        <f t="shared" si="1"/>
        <v>0</v>
      </c>
      <c r="L15" s="472">
        <f t="shared" ca="1" si="1"/>
        <v>0</v>
      </c>
      <c r="M15" s="472">
        <f t="shared" si="1"/>
        <v>9365.9548132423861</v>
      </c>
      <c r="N15" s="472">
        <f t="shared" ca="1" si="1"/>
        <v>63341.238468739983</v>
      </c>
      <c r="O15" s="472">
        <f t="shared" si="1"/>
        <v>320.48333333333335</v>
      </c>
      <c r="P15" s="472">
        <f t="shared" si="1"/>
        <v>858</v>
      </c>
      <c r="Q15" s="472">
        <f t="shared" ca="1" si="1"/>
        <v>933168.04744362202</v>
      </c>
    </row>
    <row r="17" spans="1:17">
      <c r="A17" s="475" t="s">
        <v>569</v>
      </c>
      <c r="B17" s="781">
        <f ca="1">huishoudens!B10</f>
        <v>0.21302928446363348</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9688.4435597916236</v>
      </c>
      <c r="C22" s="462">
        <f t="shared" ref="C22:C32" ca="1" si="3">C4*$C$17</f>
        <v>0</v>
      </c>
      <c r="D22" s="462">
        <f t="shared" ref="D22:D32" si="4">D4*$D$17</f>
        <v>30846.856650130881</v>
      </c>
      <c r="E22" s="462">
        <f t="shared" ref="E22:E32" si="5">E4*$E$17</f>
        <v>1964.2745984038872</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42499.57480832639</v>
      </c>
    </row>
    <row r="23" spans="1:17">
      <c r="A23" s="461" t="s">
        <v>156</v>
      </c>
      <c r="B23" s="462">
        <f t="shared" ca="1" si="2"/>
        <v>15160.449106797592</v>
      </c>
      <c r="C23" s="462">
        <f t="shared" ca="1" si="3"/>
        <v>0</v>
      </c>
      <c r="D23" s="462">
        <f t="shared" ca="1" si="4"/>
        <v>14730.70693475667</v>
      </c>
      <c r="E23" s="462">
        <f t="shared" si="5"/>
        <v>180.94943746865064</v>
      </c>
      <c r="F23" s="462">
        <f t="shared" ca="1" si="6"/>
        <v>3733.7159687457679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33805.821447768685</v>
      </c>
    </row>
    <row r="24" spans="1:17">
      <c r="A24" s="461" t="s">
        <v>194</v>
      </c>
      <c r="B24" s="462">
        <f t="shared" ca="1" si="2"/>
        <v>291.11474262520943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291.11474262520943</v>
      </c>
    </row>
    <row r="25" spans="1:17">
      <c r="A25" s="461" t="s">
        <v>112</v>
      </c>
      <c r="B25" s="462">
        <f t="shared" ca="1" si="2"/>
        <v>290.8747805581674</v>
      </c>
      <c r="C25" s="462">
        <f t="shared" ca="1" si="3"/>
        <v>7701.2924369747907</v>
      </c>
      <c r="D25" s="462">
        <f t="shared" si="4"/>
        <v>0</v>
      </c>
      <c r="E25" s="462">
        <f t="shared" si="5"/>
        <v>3.9057780790425811</v>
      </c>
      <c r="F25" s="462">
        <f t="shared" si="6"/>
        <v>1257.8494110410527</v>
      </c>
      <c r="G25" s="462">
        <f t="shared" si="7"/>
        <v>0</v>
      </c>
      <c r="H25" s="462">
        <f t="shared" si="8"/>
        <v>0</v>
      </c>
      <c r="I25" s="462">
        <f t="shared" si="9"/>
        <v>0</v>
      </c>
      <c r="J25" s="462">
        <f t="shared" si="10"/>
        <v>72.691734554860162</v>
      </c>
      <c r="K25" s="462">
        <f t="shared" si="11"/>
        <v>0</v>
      </c>
      <c r="L25" s="462">
        <f t="shared" si="12"/>
        <v>0</v>
      </c>
      <c r="M25" s="462">
        <f t="shared" si="13"/>
        <v>0</v>
      </c>
      <c r="N25" s="462">
        <f t="shared" si="14"/>
        <v>0</v>
      </c>
      <c r="O25" s="462">
        <f t="shared" si="15"/>
        <v>0</v>
      </c>
      <c r="P25" s="463">
        <f t="shared" si="16"/>
        <v>0</v>
      </c>
      <c r="Q25" s="461">
        <f t="shared" ca="1" si="17"/>
        <v>9326.6141412079141</v>
      </c>
    </row>
    <row r="26" spans="1:17">
      <c r="A26" s="461" t="s">
        <v>657</v>
      </c>
      <c r="B26" s="462">
        <f t="shared" ca="1" si="2"/>
        <v>25356.607631735642</v>
      </c>
      <c r="C26" s="462">
        <f t="shared" ca="1" si="3"/>
        <v>124.76470588235298</v>
      </c>
      <c r="D26" s="462">
        <f t="shared" si="4"/>
        <v>13911.479989476071</v>
      </c>
      <c r="E26" s="462">
        <f t="shared" si="5"/>
        <v>1953.117941078691</v>
      </c>
      <c r="F26" s="462">
        <f t="shared" si="6"/>
        <v>11095.590648026333</v>
      </c>
      <c r="G26" s="462">
        <f t="shared" si="7"/>
        <v>0</v>
      </c>
      <c r="H26" s="462">
        <f t="shared" si="8"/>
        <v>0</v>
      </c>
      <c r="I26" s="462">
        <f t="shared" si="9"/>
        <v>0</v>
      </c>
      <c r="J26" s="462">
        <f t="shared" si="10"/>
        <v>67.461737659975043</v>
      </c>
      <c r="K26" s="462">
        <f t="shared" si="11"/>
        <v>0</v>
      </c>
      <c r="L26" s="462">
        <f t="shared" si="12"/>
        <v>0</v>
      </c>
      <c r="M26" s="462">
        <f t="shared" si="13"/>
        <v>0</v>
      </c>
      <c r="N26" s="462">
        <f t="shared" si="14"/>
        <v>0</v>
      </c>
      <c r="O26" s="462">
        <f t="shared" si="15"/>
        <v>0</v>
      </c>
      <c r="P26" s="463">
        <f t="shared" si="16"/>
        <v>0</v>
      </c>
      <c r="Q26" s="461">
        <f t="shared" ca="1" si="17"/>
        <v>52509.022653859065</v>
      </c>
    </row>
    <row r="27" spans="1:17" s="467" customFormat="1">
      <c r="A27" s="465" t="s">
        <v>574</v>
      </c>
      <c r="B27" s="775">
        <f t="shared" ca="1" si="2"/>
        <v>2.6515401909748859</v>
      </c>
      <c r="C27" s="466">
        <f t="shared" ca="1" si="3"/>
        <v>0</v>
      </c>
      <c r="D27" s="466">
        <f t="shared" si="4"/>
        <v>3.9971890949600843</v>
      </c>
      <c r="E27" s="466">
        <f t="shared" si="5"/>
        <v>150.48365321804698</v>
      </c>
      <c r="F27" s="466">
        <f t="shared" si="6"/>
        <v>0</v>
      </c>
      <c r="G27" s="466">
        <f t="shared" si="7"/>
        <v>46657.446142249311</v>
      </c>
      <c r="H27" s="466">
        <f t="shared" si="8"/>
        <v>7507.7661431027891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54322.344667856079</v>
      </c>
    </row>
    <row r="28" spans="1:17">
      <c r="A28" s="461" t="s">
        <v>564</v>
      </c>
      <c r="B28" s="462">
        <f t="shared" ca="1" si="2"/>
        <v>0</v>
      </c>
      <c r="C28" s="462">
        <f t="shared" ca="1" si="3"/>
        <v>0</v>
      </c>
      <c r="D28" s="462">
        <f t="shared" si="4"/>
        <v>0</v>
      </c>
      <c r="E28" s="462">
        <f t="shared" si="5"/>
        <v>0</v>
      </c>
      <c r="F28" s="462">
        <f t="shared" si="6"/>
        <v>0</v>
      </c>
      <c r="G28" s="462">
        <f t="shared" si="7"/>
        <v>624.00317554565481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624.00317554565481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311.99100018734117</v>
      </c>
      <c r="C32" s="462">
        <f t="shared" ca="1" si="3"/>
        <v>0</v>
      </c>
      <c r="D32" s="462">
        <f t="shared" si="4"/>
        <v>1076.6841292481854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1388.6751294355265</v>
      </c>
    </row>
    <row r="33" spans="1:17" s="474" customFormat="1">
      <c r="A33" s="471" t="s">
        <v>568</v>
      </c>
      <c r="B33" s="472">
        <f ca="1">SUM(B22:B32)</f>
        <v>51102.132361886557</v>
      </c>
      <c r="C33" s="472">
        <f t="shared" ref="C33:Q33" ca="1" si="18">SUM(C22:C32)</f>
        <v>7826.0571428571438</v>
      </c>
      <c r="D33" s="472">
        <f t="shared" ca="1" si="18"/>
        <v>60569.72489270677</v>
      </c>
      <c r="E33" s="472">
        <f t="shared" si="18"/>
        <v>4252.731408248319</v>
      </c>
      <c r="F33" s="472">
        <f t="shared" ca="1" si="18"/>
        <v>16087.156027813155</v>
      </c>
      <c r="G33" s="472">
        <f t="shared" si="18"/>
        <v>47281.449317794963</v>
      </c>
      <c r="H33" s="472">
        <f t="shared" si="18"/>
        <v>7507.7661431027891</v>
      </c>
      <c r="I33" s="472">
        <f t="shared" si="18"/>
        <v>0</v>
      </c>
      <c r="J33" s="472">
        <f t="shared" si="18"/>
        <v>140.1534722148352</v>
      </c>
      <c r="K33" s="472">
        <f t="shared" si="18"/>
        <v>0</v>
      </c>
      <c r="L33" s="472">
        <f t="shared" ca="1" si="18"/>
        <v>0</v>
      </c>
      <c r="M33" s="472">
        <f t="shared" si="18"/>
        <v>0</v>
      </c>
      <c r="N33" s="472">
        <f t="shared" ca="1" si="18"/>
        <v>0</v>
      </c>
      <c r="O33" s="472">
        <f t="shared" si="18"/>
        <v>0</v>
      </c>
      <c r="P33" s="472">
        <f t="shared" si="18"/>
        <v>0</v>
      </c>
      <c r="Q33" s="472">
        <f t="shared" ca="1" si="18"/>
        <v>194767.17076662453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9488.1820000000007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23052</v>
      </c>
      <c r="D8" s="1047">
        <f>'SEAP template'!D76</f>
        <v>27120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5478.2400000000007</v>
      </c>
    </row>
    <row r="9" spans="1:16">
      <c r="A9" s="1050" t="s">
        <v>887</v>
      </c>
      <c r="B9" s="1047">
        <f>'SEAP template'!B77</f>
        <v>900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2571.4285714285716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10388.182000000001</v>
      </c>
      <c r="C10" s="1051">
        <f>SUM(C4:C9)</f>
        <v>23052</v>
      </c>
      <c r="D10" s="1051">
        <f t="shared" ref="D10:H10" si="0">SUM(D8:D9)</f>
        <v>27120</v>
      </c>
      <c r="E10" s="1051">
        <f t="shared" si="0"/>
        <v>0</v>
      </c>
      <c r="F10" s="1051">
        <f t="shared" si="0"/>
        <v>0</v>
      </c>
      <c r="G10" s="1051">
        <f t="shared" si="0"/>
        <v>0</v>
      </c>
      <c r="H10" s="1051">
        <f t="shared" si="0"/>
        <v>0</v>
      </c>
      <c r="I10" s="1051">
        <f>SUM(I8:I9)</f>
        <v>0</v>
      </c>
      <c r="J10" s="1051">
        <f>SUM(J8:J9)</f>
        <v>2571.4285714285716</v>
      </c>
      <c r="K10" s="1051">
        <f t="shared" ref="K10:L10" si="1">SUM(K8:K9)</f>
        <v>0</v>
      </c>
      <c r="L10" s="1051">
        <f t="shared" si="1"/>
        <v>0</v>
      </c>
      <c r="M10" s="1051">
        <f>SUM(M8:M9)</f>
        <v>0</v>
      </c>
      <c r="N10" s="1051">
        <f>SUM(N8:N9)</f>
        <v>0</v>
      </c>
      <c r="O10" s="1051">
        <f>SUM(O8:O9)</f>
        <v>0</v>
      </c>
      <c r="P10" s="1051">
        <f>SUM(P8:P9)</f>
        <v>5478.2400000000007</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0.21302928446363348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32931.428571428572</v>
      </c>
      <c r="D17" s="1048">
        <f>'SEAP template'!D87</f>
        <v>38742.857142857145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7826.0571428571438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32931.428571428572</v>
      </c>
      <c r="D20" s="1051">
        <f t="shared" ref="D20:H20" si="2">SUM(D17:D19)</f>
        <v>38742.857142857145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7826.0571428571438</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0.21302928446363348</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2</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38.133333333333333</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2019-08-12T08:01:12Z</dcterms:modified>
</cp:coreProperties>
</file>