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9"/>
  <c r="E30"/>
  <c r="E31"/>
  <c r="E24"/>
  <c r="M32"/>
  <c r="M29"/>
  <c r="M25"/>
  <c r="M26"/>
  <c r="M30"/>
  <c r="M24"/>
  <c r="M22"/>
  <c r="M23"/>
  <c r="D30"/>
  <c r="D28"/>
  <c r="D29"/>
  <c r="D31"/>
  <c r="D24"/>
  <c r="D32"/>
  <c r="P5"/>
  <c r="P23" s="1"/>
  <c r="Q10" i="14"/>
  <c r="K32" i="48"/>
  <c r="K28"/>
  <c r="K26"/>
  <c r="K22"/>
  <c r="K25"/>
  <c r="K31"/>
  <c r="K30"/>
  <c r="K29"/>
  <c r="K24"/>
  <c r="K27"/>
  <c r="P4"/>
  <c r="Q11" i="14"/>
  <c r="O4" i="48"/>
  <c r="P11" i="14"/>
  <c r="E11"/>
  <c r="D4" i="48"/>
  <c r="D22" s="1"/>
  <c r="D11" i="14"/>
  <c r="C4" i="48"/>
  <c r="L10" i="14"/>
  <c r="L16" s="1"/>
  <c r="L27" s="1"/>
  <c r="K5" i="48"/>
  <c r="L28"/>
  <c r="L29"/>
  <c r="L32"/>
  <c r="L30"/>
  <c r="L27"/>
  <c r="L31"/>
  <c r="L24"/>
  <c r="L22"/>
  <c r="C24" i="14"/>
  <c r="C26" s="1"/>
  <c r="B7" i="48"/>
  <c r="J29"/>
  <c r="J31"/>
  <c r="J32"/>
  <c r="J27"/>
  <c r="J24"/>
  <c r="J30"/>
  <c r="J28"/>
  <c r="I29"/>
  <c r="I31"/>
  <c r="I26"/>
  <c r="I32"/>
  <c r="I25"/>
  <c r="I27"/>
  <c r="I22"/>
  <c r="I30"/>
  <c r="I28"/>
  <c r="I24"/>
  <c r="H29"/>
  <c r="H26"/>
  <c r="H32"/>
  <c r="H25"/>
  <c r="H28"/>
  <c r="H22"/>
  <c r="H30"/>
  <c r="H24"/>
  <c r="H23"/>
  <c r="G32"/>
  <c r="G26"/>
  <c r="G22"/>
  <c r="G30"/>
  <c r="G29"/>
  <c r="G25"/>
  <c r="G24"/>
  <c r="G23"/>
  <c r="C11" i="14"/>
  <c r="B4" i="48"/>
  <c r="F32"/>
  <c r="F27"/>
  <c r="F24"/>
  <c r="F28"/>
  <c r="F29"/>
  <c r="F30"/>
  <c r="F31"/>
  <c r="N32"/>
  <c r="N29"/>
  <c r="N31"/>
  <c r="N28"/>
  <c r="N27"/>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O5" i="48"/>
  <c r="O23" s="1"/>
  <c r="P10" i="14"/>
  <c r="K24"/>
  <c r="K26" s="1"/>
  <c r="J7" i="48"/>
  <c r="J25" s="1"/>
  <c r="J10" i="14"/>
  <c r="J16" s="1"/>
  <c r="J27" s="1"/>
  <c r="I5" i="48"/>
  <c r="H18" i="14"/>
  <c r="R18" s="1"/>
  <c r="G13" i="48"/>
  <c r="H13"/>
  <c r="H31" s="1"/>
  <c r="I18" i="14"/>
  <c r="P22" i="48"/>
  <c r="K15"/>
  <c r="K23"/>
  <c r="K33" s="1"/>
  <c r="E9"/>
  <c r="F20" i="14"/>
  <c r="F22" s="1"/>
  <c r="P22" i="16"/>
  <c r="Q43" i="14" s="1"/>
  <c r="P8" i="48"/>
  <c r="P26" s="1"/>
  <c r="Q13" i="14"/>
  <c r="Q16" s="1"/>
  <c r="Q27" s="1"/>
  <c r="Q63" s="1"/>
  <c r="O22" i="48"/>
  <c r="D9"/>
  <c r="D27" s="1"/>
  <c r="E20" i="14"/>
  <c r="E22" s="1"/>
  <c r="F4" i="48"/>
  <c r="F22" s="1"/>
  <c r="G11" i="14"/>
  <c r="M12" i="22"/>
  <c r="N18" i="14"/>
  <c r="M13" i="48"/>
  <c r="M31" s="1"/>
  <c r="L63" i="14"/>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M10" i="48"/>
  <c r="M28" s="1"/>
  <c r="N19" i="14"/>
  <c r="E7" i="48"/>
  <c r="E25" s="1"/>
  <c r="F24" i="14"/>
  <c r="F26" s="1"/>
  <c r="E27" i="48"/>
  <c r="H19" i="14"/>
  <c r="R19" s="1"/>
  <c r="G10" i="48"/>
  <c r="G31"/>
  <c r="Q13"/>
  <c r="E12" i="13"/>
  <c r="F41" i="14" s="1"/>
  <c r="F11"/>
  <c r="E4" i="48"/>
  <c r="I23"/>
  <c r="I33" s="1"/>
  <c r="I15"/>
  <c r="K11" i="14"/>
  <c r="J4" i="48"/>
  <c r="O8"/>
  <c r="P13" i="14"/>
  <c r="P16" s="1"/>
  <c r="P27" s="1"/>
  <c r="P46"/>
  <c r="P61" s="1"/>
  <c r="J63"/>
  <c r="P15" i="48"/>
  <c r="M14" i="22"/>
  <c r="P33" i="48"/>
  <c r="G14" i="22"/>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N22" l="1"/>
  <c r="N27" s="1"/>
  <c r="H52"/>
  <c r="H61" s="1"/>
  <c r="M9" i="48"/>
  <c r="N20" i="14"/>
  <c r="I20"/>
  <c r="I22" s="1"/>
  <c r="I27" s="1"/>
  <c r="H9" i="48"/>
  <c r="E20" i="15"/>
  <c r="F40" i="14" s="1"/>
  <c r="E5" i="48"/>
  <c r="E23" s="1"/>
  <c r="F10" i="14"/>
  <c r="G28" i="48"/>
  <c r="Q10"/>
  <c r="J22"/>
  <c r="K10" i="14"/>
  <c r="J5" i="48"/>
  <c r="J23" s="1"/>
  <c r="H20" i="14"/>
  <c r="G9" i="48"/>
  <c r="O26"/>
  <c r="O33" s="1"/>
  <c r="O15"/>
  <c r="E22"/>
  <c r="Q4"/>
  <c r="P63" i="14"/>
  <c r="M18" i="22"/>
  <c r="N50" i="14" s="1"/>
  <c r="N52" s="1"/>
  <c r="N61" s="1"/>
  <c r="R11"/>
  <c r="E46"/>
  <c r="E61" s="1"/>
  <c r="M61"/>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2" l="1"/>
  <c r="H27" s="1"/>
  <c r="H63" s="1"/>
  <c r="R20"/>
  <c r="R22" s="1"/>
  <c r="G27" i="48"/>
  <c r="G33" s="1"/>
  <c r="G15"/>
  <c r="Q9"/>
  <c r="M27"/>
  <c r="M33" s="1"/>
  <c r="M15"/>
  <c r="E8"/>
  <c r="E26" s="1"/>
  <c r="F13" i="14"/>
  <c r="J22" i="16"/>
  <c r="K43" i="14" s="1"/>
  <c r="K46" s="1"/>
  <c r="K61" s="1"/>
  <c r="K13"/>
  <c r="K16" s="1"/>
  <c r="K27" s="1"/>
  <c r="J8" i="48"/>
  <c r="H27"/>
  <c r="H33" s="1"/>
  <c r="H15"/>
  <c r="N63" i="14"/>
  <c r="Q5" i="48"/>
  <c r="F16" i="14"/>
  <c r="F27" s="1"/>
  <c r="F63" s="1"/>
  <c r="R10"/>
  <c r="E33" i="48"/>
  <c r="E15"/>
  <c r="E63" i="14"/>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<sst xmlns="http://schemas.openxmlformats.org/spreadsheetml/2006/main" count="2441" uniqueCount="919">
  <si>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</si>
  <si>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</si>
  <si>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</si>
  <si>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</si>
  <si>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</si>
  <si>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</si>
  <si>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</si>
  <si>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</si>
  <si>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</si>
  <si>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</si>
  <si>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</si>
  <si>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</si>
  <si>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</si>
  <si>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</si>
  <si>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</si>
  <si>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</si>
  <si>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</si>
  <si>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</si>
  <si>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</si>
  <si>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</si>
  <si>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</si>
  <si>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</si>
  <si>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</si>
  <si>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</si>
  <si>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</si>
  <si>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</si>
  <si>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</si>
  <si>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</si>
  <si>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</si>
  <si>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</si>
  <si>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</si>
  <si>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</si>
  <si>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</si>
  <si>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</si>
  <si>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</si>
  <si>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</si>
  <si>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</si>
  <si>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</si>
  <si>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</si>
  <si>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</si>
  <si>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</si>
  <si>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</si>
  <si>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</si>
  <si>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</si>
  <si>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</si>
  <si>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</si>
  <si>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</si>
  <si>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</si>
  <si>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</si>
  <si>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</si>
  <si>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</si>
  <si>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</si>
  <si>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</si>
  <si>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</si>
  <si>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</si>
  <si>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</si>
  <si>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</si>
  <si>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</si>
  <si>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</si>
  <si>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</si>
  <si>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</si>
  <si>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</si>
  <si>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</si>
  <si>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</si>
  <si>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</si>
  <si>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</si>
  <si>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</si>
  <si>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</si>
  <si>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</si>
  <si>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</si>
  <si>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</si>
  <si>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</si>
  <si>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</si>
  <si>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</si>
  <si>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</si>
  <si>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</si>
  <si>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</si>
  <si>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</si>
  <si>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</si>
  <si>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</si>
  <si>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</si>
  <si>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</si>
  <si>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</si>
  <si>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</si>
  <si>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</si>
  <si>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</si>
  <si>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</si>
  <si>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</si>
  <si>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</si>
  <si>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</si>
  <si>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</si>
  <si>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</si>
  <si>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</si>
  <si>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</si>
  <si>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</si>
  <si>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</si>
  <si>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</si>
  <si>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</si>
  <si>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</si>
  <si>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</si>
  <si>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</si>
  <si>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</si>
  <si>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</si>
  <si>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</si>
  <si>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</si>
  <si>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</si>
  <si>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</si>
  <si>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</si>
  <si>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</si>
  <si>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</si>
  <si>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</si>
  <si>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</si>
  <si>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</si>
  <si>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</si>
  <si>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</si>
  <si>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</si>
  <si>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</si>
  <si>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</si>
  <si>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</si>
  <si>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</si>
  <si>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</si>
  <si>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</si>
  <si>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</si>
  <si>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</si>
  <si>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</si>
  <si>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</si>
  <si>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</si>
  <si>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</si>
  <si>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</si>
  <si>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</si>
  <si>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</si>
  <si>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</si>
  <si>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</si>
  <si>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</si>
  <si>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</si>
  <si>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</si>
  <si>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</si>
  <si>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</si>
  <si>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</si>
  <si>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</si>
  <si>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</si>
  <si>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</si>
  <si>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</si>
  <si>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</si>
  <si>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</si>
  <si>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</si>
  <si>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</si>
  <si>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</si>
  <si>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</si>
  <si>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</si>
  <si>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</si>
  <si>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</si>
  <si>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</si>
  <si>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</si>
  <si>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</si>
  <si>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</si>
  <si>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</si>
  <si>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</si>
  <si>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</si>
  <si>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</si>
  <si>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</si>
  <si>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</si>
  <si>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</si>
  <si>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</si>
  <si>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</si>
  <si>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</si>
  <si>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</si>
  <si>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</si>
  <si>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</si>
  <si>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</si>
  <si>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</si>
  <si>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</si>
  <si>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</si>
  <si>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</si>
  <si>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</si>
  <si>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</si>
  <si>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</si>
  <si>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</si>
  <si>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</si>
  <si>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</si>
  <si>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</si>
  <si>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</si>
  <si>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</si>
  <si>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</si>
  <si>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</si>
  <si>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</si>
  <si>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</si>
  <si>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</si>
  <si>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</si>
  <si>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</si>
  <si>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</si>
  <si>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</si>
  <si>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</si>
  <si>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</si>
  <si>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</si>
  <si>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</si>
  <si>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</si>
  <si>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</si>
  <si>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</si>
  <si>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</si>
  <si>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</si>
  <si>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</si>
  <si>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</si>
  <si>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</si>
  <si>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</si>
  <si>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</si>
  <si>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</si>
  <si>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</si>
  <si>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</si>
  <si>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</si>
  <si>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</si>
  <si>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</si>
  <si>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</si>
  <si>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</si>
  <si>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</si>
  <si>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</si>
  <si>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</si>
  <si>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</si>
  <si>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</si>
  <si>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</si>
  <si>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</si>
  <si>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</si>
  <si>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</si>
  <si>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</si>
  <si>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</si>
  <si>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</si>
  <si>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</si>
  <si>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</si>
  <si>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</si>
  <si>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</si>
  <si>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</si>
  <si>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</si>
  <si>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</si>
  <si>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</si>
  <si>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</si>
  <si>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</si>
  <si>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</si>
  <si>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</si>
  <si>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</si>
  <si>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</si>
  <si>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</si>
  <si>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</si>
  <si>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</si>
  <si>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</si>
  <si>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</si>
  <si>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</si>
  <si>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</si>
  <si>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</si>
  <si>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</si>
  <si>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</si>
  <si>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</si>
  <si>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</si>
  <si>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</si>
  <si>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</si>
  <si>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</si>
  <si>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</si>
  <si>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</si>
  <si>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</si>
  <si>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</si>
  <si>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</si>
  <si>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</si>
  <si>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</si>
  <si>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</si>
  <si>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</si>
  <si>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</si>
  <si>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</si>
  <si>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</si>
  <si>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</si>
  <si>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</si>
  <si>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</si>
  <si>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</si>
  <si>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</si>
  <si>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</si>
  <si>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</si>
  <si>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</si>
  <si>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</si>
  <si>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</si>
  <si>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</si>
  <si>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</si>
  <si>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</si>
  <si>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</si>
  <si>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</si>
  <si>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</si>
  <si>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</si>
  <si>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</si>
  <si>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</si>
  <si>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</si>
  <si>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</si>
  <si>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</si>
  <si>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</si>
  <si>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</si>
  <si>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</si>
  <si>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</si>
  <si>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</si>
  <si>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</si>
  <si>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</si>
  <si>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</si>
  <si>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</si>
  <si>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</si>
  <si>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</si>
  <si>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</si>
  <si>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</si>
  <si>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</si>
  <si>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</si>
  <si>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</si>
  <si>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</si>
  <si>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</si>
  <si>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</si>
  <si>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</si>
  <si>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</si>
  <si>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</si>
  <si>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</si>
  <si>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</si>
  <si>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</si>
  <si>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</si>
  <si>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</si>
  <si>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</si>
  <si>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</si>
  <si>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</si>
  <si>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</si>
  <si>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</si>
  <si>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</si>
  <si>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</si>
  <si>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</si>
  <si>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</si>
  <si>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</si>
  <si>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</si>
  <si>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</si>
  <si>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</si>
  <si>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</si>
  <si>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</si>
  <si>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</si>
  <si>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</si>
  <si>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</si>
  <si>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</si>
  <si>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</si>
  <si>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</si>
  <si>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</si>
  <si>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</si>
  <si>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</si>
  <si>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</si>
  <si>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</si>
  <si>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</si>
  <si>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</si>
  <si>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</si>
  <si>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</si>
  <si>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</si>
  <si>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</si>
  <si>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</si>
  <si>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</si>
  <si>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</si>
  <si>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</si>
  <si>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</si>
  <si>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</si>
  <si>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</si>
  <si>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</si>
  <si>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</si>
  <si>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</si>
  <si>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</si>
  <si>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</si>
  <si>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</si>
  <si>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</si>
  <si>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</si>
  <si>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</si>
  <si>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</si>
  <si>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</si>
  <si>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</si>
  <si>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</si>
  <si>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</si>
  <si>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</si>
  <si>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</si>
  <si>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</si>
  <si>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</si>
  <si>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</si>
  <si>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</si>
  <si>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</si>
  <si>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</si>
  <si>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</si>
  <si>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</si>
  <si>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</si>
  <si>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</si>
  <si>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</si>
  <si>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</si>
  <si>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</si>
  <si>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</si>
  <si>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</si>
  <si>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</si>
  <si>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</si>
  <si>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</si>
  <si>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</si>
  <si>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</si>
  <si>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</si>
  <si>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</si>
  <si>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</si>
  <si>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</si>
  <si>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</si>
  <si>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</si>
  <si>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</si>
  <si>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</si>
  <si>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</si>
  <si>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</si>
  <si>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</si>
  <si>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</si>
  <si>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</si>
  <si>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</si>
  <si>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</si>
  <si>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</si>
  <si>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</si>
  <si>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</si>
  <si>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</si>
  <si>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</si>
  <si>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</si>
  <si>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</si>
  <si>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</si>
  <si>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</si>
  <si>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</si>
  <si>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</si>
  <si>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</si>
  <si>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</si>
  <si>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</si>
  <si>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</si>
  <si>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</si>
  <si>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</si>
  <si>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</si>
  <si>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</si>
  <si>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</si>
  <si>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</si>
  <si>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</si>
  <si>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</si>
  <si>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</si>
  <si>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</si>
  <si>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</si>
  <si>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</si>
  <si>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</si>
  <si>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</si>
  <si>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</si>
  <si>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</si>
  <si>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</si>
  <si>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</si>
  <si>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</si>
  <si>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</si>
  <si>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</si>
  <si>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</si>
  <si>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</si>
  <si>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</si>
  <si>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</si>
  <si>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</si>
  <si>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</si>
  <si>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</si>
  <si>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</si>
  <si>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</si>
  <si>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</si>
  <si>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</si>
  <si>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</si>
  <si>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</si>
  <si>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</si>
  <si>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</si>
  <si>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</si>
  <si>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</si>
  <si>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</si>
  <si>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</si>
  <si>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</si>
  <si>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</si>
  <si>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</si>
  <si>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</si>
  <si>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</si>
  <si>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</si>
  <si>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</si>
  <si>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</si>
  <si>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</si>
  <si>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</si>
  <si>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</si>
  <si>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</si>
  <si>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</si>
  <si>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</si>
  <si>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</si>
  <si>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</si>
  <si>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</si>
  <si>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</si>
  <si>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</si>
  <si>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</si>
  <si>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</si>
  <si>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</si>
  <si>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</si>
  <si>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</si>
  <si>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</si>
  <si>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</si>
  <si>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</si>
  <si>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</si>
  <si>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</si>
  <si>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</si>
  <si>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</si>
  <si>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</si>
  <si>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</si>
  <si>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</si>
  <si>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</si>
  <si>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</si>
  <si>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</si>
  <si>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</si>
  <si>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</si>
  <si>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</si>
  <si>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</si>
  <si>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</si>
  <si>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</si>
  <si>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</si>
  <si>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</si>
  <si>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</si>
  <si>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</si>
  <si>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</si>
  <si>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</si>
  <si>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</si>
  <si>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</si>
  <si>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</si>
  <si>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</si>
  <si>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</si>
  <si>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</si>
  <si>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</si>
  <si>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</si>
  <si>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</si>
  <si>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</si>
  <si>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</si>
  <si>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</si>
  <si>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</si>
  <si>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</si>
  <si>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</si>
  <si>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</si>
  <si>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</si>
  <si>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</si>
  <si>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</si>
  <si>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</si>
  <si>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</si>
  <si>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</si>
  <si>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</si>
  <si>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</si>
  <si>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</si>
  <si>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</si>
  <si>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</si>
  <si>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</si>
  <si>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</si>
  <si>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</si>
  <si>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</si>
  <si>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</si>
  <si>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</si>
  <si>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</si>
  <si>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</si>
  <si>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</si>
  <si>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</si>
  <si>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</si>
  <si>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</si>
  <si>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</si>
  <si>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</si>
  <si>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</si>
  <si>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</si>
  <si>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</si>
  <si>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</si>
  <si>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</si>
  <si>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</si>
  <si>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</si>
  <si>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</si>
  <si>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</si>
  <si>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</si>
  <si>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</si>
  <si>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</si>
  <si>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</si>
  <si>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</si>
  <si>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</si>
  <si>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</si>
  <si>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</si>
  <si>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</si>
  <si>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</si>
  <si>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</si>
  <si>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</si>
  <si>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</si>
  <si>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</si>
  <si>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</si>
  <si>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</si>
  <si>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</si>
  <si>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</si>
  <si>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</si>
  <si>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</si>
  <si>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</si>
  <si>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</si>
  <si>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</si>
  <si>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</si>
  <si>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</si>
  <si>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</si>
  <si>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</si>
  <si>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</si>
  <si>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</si>
  <si>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</si>
  <si>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</si>
  <si>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</si>
  <si>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</si>
  <si>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</si>
  <si>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</si>
  <si>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</si>
  <si>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</si>
  <si>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</si>
  <si>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</si>
  <si>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</si>
  <si>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</si>
  <si>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</si>
  <si>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</si>
  <si>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</si>
  <si>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</si>
  <si>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</si>
  <si>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</si>
  <si>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</si>
  <si>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</si>
  <si>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</si>
  <si>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</si>
  <si>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</si>
  <si>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</si>
  <si>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</si>
  <si>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</si>
  <si>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</si>
  <si>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</si>
  <si>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</si>
  <si>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</si>
  <si>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</si>
  <si>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</si>
  <si>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</si>
  <si>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</si>
  <si>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</si>
  <si>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</si>
  <si>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</si>
  <si>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</si>
  <si>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</si>
  <si>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</si>
  <si>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</si>
  <si>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</si>
  <si>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</si>
  <si>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</si>
  <si>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</si>
  <si>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</si>
  <si>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</si>
  <si>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</si>
  <si>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</si>
  <si>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</si>
  <si>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</si>
  <si>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</si>
  <si>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</si>
  <si>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</si>
  <si>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</si>
  <si>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</si>
  <si>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</si>
  <si>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</si>
  <si>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</si>
  <si>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</si>
  <si>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</si>
  <si>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</si>
  <si>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</si>
  <si>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</si>
  <si>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</si>
  <si>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</si>
  <si>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</si>
  <si>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</si>
  <si>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</si>
  <si>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</si>
  <si>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</si>
  <si>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</si>
  <si>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</si>
  <si>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</si>
  <si>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</si>
  <si>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</si>
  <si>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</si>
  <si>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</si>
  <si>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</si>
  <si>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</si>
  <si>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</si>
  <si>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</si>
  <si>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</si>
  <si>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</si>
  <si>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</si>
  <si>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</si>
  <si>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</si>
  <si>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</si>
  <si>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</si>
  <si>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</si>
  <si>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</si>
  <si>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</si>
  <si>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</si>
  <si>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</si>
  <si>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</si>
  <si>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</si>
  <si>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</si>
  <si>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</si>
  <si>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</si>
  <si>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</si>
  <si>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</si>
  <si>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</si>
  <si>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</si>
  <si>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</si>
  <si>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</si>
  <si>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</si>
  <si>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</si>
  <si>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</si>
  <si>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</si>
  <si>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</si>
  <si>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</si>
  <si>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</si>
  <si>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</si>
  <si>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</si>
  <si>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</si>
  <si>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</si>
  <si>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</si>
  <si>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</si>
  <si>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</si>
  <si>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</si>
  <si>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</si>
  <si>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</si>
  <si>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</si>
  <si>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</si>
  <si>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</si>
  <si>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</si>
  <si>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</si>
  <si>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</si>
  <si>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</si>
  <si>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</si>
  <si>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</si>
  <si>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</si>
  <si>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</si>
  <si>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</si>
  <si>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</si>
  <si>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</si>
  <si>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</si>
  <si>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</si>
  <si>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</si>
  <si>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</si>
  <si>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</si>
  <si>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</si>
  <si>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</si>
  <si>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</si>
  <si>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</si>
  <si>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</si>
  <si>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</si>
  <si>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</si>
  <si>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</si>
  <si>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</si>
  <si>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</si>
  <si>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</si>
  <si>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</si>
  <si>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</si>
  <si>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</si>
  <si>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</si>
  <si>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</si>
  <si>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</si>
  <si>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</si>
  <si>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</si>
  <si>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</si>
  <si>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</si>
  <si>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</si>
  <si>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</si>
  <si>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</si>
  <si>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</si>
  <si>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</si>
  <si>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</si>
  <si>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</si>
  <si>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</si>
  <si>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</si>
  <si>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</si>
  <si>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</si>
  <si>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</si>
  <si>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</si>
  <si>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</si>
  <si>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</si>
  <si>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</si>
  <si>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</si>
  <si>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</si>
  <si>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</si>
  <si>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</si>
  <si>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</si>
  <si>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</si>
  <si>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</si>
  <si>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</si>
  <si>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</si>
  <si>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</si>
  <si>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</si>
  <si>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</si>
  <si>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</si>
  <si>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</si>
  <si>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</si>
  <si>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</si>
  <si>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</si>
  <si>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</si>
  <si>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</si>
  <si>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</si>
  <si>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</si>
  <si>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</si>
  <si>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</si>
  <si>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</si>
  <si>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</si>
  <si>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</si>
  <si>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</si>
  <si>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</si>
  <si>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</si>
  <si>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</si>
  <si>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</si>
  <si>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</si>
  <si>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</si>
  <si>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</si>
  <si>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</si>
  <si>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</si>
  <si>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</si>
  <si>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</si>
  <si>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</si>
  <si>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</si>
  <si>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</si>
  <si>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</si>
  <si>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</si>
  <si>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</si>
  <si>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</si>
  <si>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</si>
  <si>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</si>
  <si>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</si>
  <si>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</si>
  <si>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</si>
  <si>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</si>
  <si>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</si>
  <si>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</si>
  <si>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</si>
  <si>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</si>
  <si>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</si>
  <si>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</si>
  <si>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</si>
  <si>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</si>
  <si>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</si>
  <si>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</si>
  <si>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</si>
  <si>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</si>
  <si>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</si>
  <si>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</si>
  <si>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</si>
  <si>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</si>
  <si>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</si>
  <si>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</si>
  <si>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</si>
  <si>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</si>
  <si>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</si>
  <si>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</si>
  <si>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</si>
  <si>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</si>
  <si>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</si>
  <si>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</si>
  <si>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</si>
  <si>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</si>
  <si>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</si>
  <si>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</si>
  <si>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</si>
  <si>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</si>
  <si>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</si>
  <si>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</si>
  <si>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</si>
  <si>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</si>
  <si>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</si>
  <si>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</si>
  <si>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</si>
  <si>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</si>
  <si>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</si>
  <si>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</si>
  <si>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</si>
  <si>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</si>
  <si>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</si>
  <si>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</si>
  <si>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</si>
  <si>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</si>
  <si>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</si>
  <si>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</si>
  <si>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</si>
  <si>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</si>
  <si>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</si>
  <si>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</si>
  <si>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</si>
  <si>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</si>
  <si>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</si>
  <si>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</si>
  <si>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</si>
  <si>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</si>
  <si>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</si>
  <si>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</si>
  <si>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</si>
  <si>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</si>
  <si>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</si>
  <si>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</si>
  <si>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</si>
  <si>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</si>
  <si>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</si>
  <si>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</si>
  <si>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</si>
  <si>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</si>
  <si>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</si>
  <si>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</si>
  <si>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</si>
  <si>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</si>
  <si>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</si>
  <si>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</si>
  <si>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</si>
  <si>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</si>
  <si>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</si>
  <si>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</si>
  <si>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</si>
  <si>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</si>
  <si>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</si>
  <si>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</si>
  <si>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</si>
  <si>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</si>
  <si>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13008</t>
  </si>
  <si>
    <t>GEEL</t>
  </si>
  <si>
    <t>Cultuurgrond (ha)</t>
  </si>
  <si>
    <t>Paarden&amp;pony's 200 - 600 kg</t>
  </si>
  <si>
    <t>Paarden&amp;pony's &lt; 200 kg</t>
  </si>
  <si>
    <t>op basis van VEA (maart 2018) en Inventaris Hernieuwbare Energiebronnen (juni 2018)</t>
  </si>
  <si>
    <t>VEA (juni 2018)</t>
  </si>
  <si>
    <t>Agrogas bvba</t>
  </si>
  <si>
    <t>Rendersvensedijk 12 , 2440 Geel</t>
  </si>
  <si>
    <t>WKK-0432 Agrogas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</si>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</sst>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354892.10098609177</c:v>
                </c:pt>
                <c:pt idx="1">
                  <c:v>213844.91777015629</c:v>
                </c:pt>
                <c:pt idx="2">
                  <c:v>1697.9259999999999</c:v>
                </c:pt>
                <c:pt idx="3">
                  <c:v>37573.245480518155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354892.10098609177</c:v>
                </c:pt>
                <c:pt idx="1">
                  <c:v>213844.91777015629</c:v>
                </c:pt>
                <c:pt idx="2">
                  <c:v>1697.9259999999999</c:v>
                </c:pt>
                <c:pt idx="3">
                  <c:v>37573.245480518155</c:v>
                </c:pt>
                <c:pt idx="4">
                  <c:v>264431.7451924241</c:v>
                </c:pt>
                <c:pt idx="5">
                  <c:v>363854.83096684318</c:v>
                </c:pt>
                <c:pt idx="6">
                  <c:v>3814.0111943087036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63511.027957435828</c:v>
                </c:pt>
                <c:pt idx="2">
                  <c:v>41119.245471139657</c:v>
                </c:pt>
                <c:pt idx="3">
                  <c:v>329.03129711166918</c:v>
                </c:pt>
                <c:pt idx="4">
                  <c:v>4653.2064279418519</c:v>
                </c:pt>
                <c:pt idx="5">
                  <c:v>51498.159850070013</c:v>
                </c:pt>
                <c:pt idx="6">
                  <c:v>91991.227432007465</c:v>
                </c:pt>
                <c:pt idx="7">
                  <c:v>974.98119061146906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63511.027957435828</c:v>
                </c:pt>
                <c:pt idx="2">
                  <c:v>41119.245471139657</c:v>
                </c:pt>
                <c:pt idx="3">
                  <c:v>329.03129711166918</c:v>
                </c:pt>
                <c:pt idx="4">
                  <c:v>4653.2064279418519</c:v>
                </c:pt>
                <c:pt idx="5">
                  <c:v>51498.159850070013</c:v>
                </c:pt>
                <c:pt idx="6">
                  <c:v>91991.227432007465</c:v>
                </c:pt>
                <c:pt idx="7">
                  <c:v>974.98119061146906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13008</v>
      </c>
      <c r="B6" s="398"/>
      <c r="C6" s="399"/>
    </row>
    <row r="7" spans="1:7" s="396" customFormat="1" ht="15.75" customHeight="1">
      <c r="A7" s="400" t="str">
        <f>txtMunicipality</f>
        <v>GEEL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0.19378423860148744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0.19378423860148744</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15941</v>
      </c>
      <c r="C9" s="338">
        <v>16933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5289</v>
      </c>
    </row>
    <row r="15" spans="1:6">
      <c r="A15" s="1295" t="s">
        <v>184</v>
      </c>
      <c r="B15" s="335">
        <v>9958</v>
      </c>
    </row>
    <row r="16" spans="1:6">
      <c r="A16" s="1295" t="s">
        <v>6</v>
      </c>
      <c r="B16" s="335">
        <v>3495</v>
      </c>
    </row>
    <row r="17" spans="1:6">
      <c r="A17" s="1295" t="s">
        <v>7</v>
      </c>
      <c r="B17" s="335">
        <v>506</v>
      </c>
    </row>
    <row r="18" spans="1:6">
      <c r="A18" s="1295" t="s">
        <v>8</v>
      </c>
      <c r="B18" s="335">
        <v>2161</v>
      </c>
    </row>
    <row r="19" spans="1:6">
      <c r="A19" s="1295" t="s">
        <v>9</v>
      </c>
      <c r="B19" s="335">
        <v>1875</v>
      </c>
    </row>
    <row r="20" spans="1:6">
      <c r="A20" s="1295" t="s">
        <v>10</v>
      </c>
      <c r="B20" s="335">
        <v>1302</v>
      </c>
    </row>
    <row r="21" spans="1:6">
      <c r="A21" s="1295" t="s">
        <v>11</v>
      </c>
      <c r="B21" s="335">
        <v>4403</v>
      </c>
    </row>
    <row r="22" spans="1:6">
      <c r="A22" s="1295" t="s">
        <v>12</v>
      </c>
      <c r="B22" s="335">
        <v>10930</v>
      </c>
    </row>
    <row r="23" spans="1:6">
      <c r="A23" s="1295" t="s">
        <v>13</v>
      </c>
      <c r="B23" s="335">
        <v>254</v>
      </c>
    </row>
    <row r="24" spans="1:6">
      <c r="A24" s="1295" t="s">
        <v>14</v>
      </c>
      <c r="B24" s="335">
        <v>14</v>
      </c>
    </row>
    <row r="25" spans="1:6">
      <c r="A25" s="1295" t="s">
        <v>15</v>
      </c>
      <c r="B25" s="335">
        <v>1285</v>
      </c>
    </row>
    <row r="26" spans="1:6">
      <c r="A26" s="1295" t="s">
        <v>16</v>
      </c>
      <c r="B26" s="335">
        <v>229</v>
      </c>
    </row>
    <row r="27" spans="1:6">
      <c r="A27" s="1295" t="s">
        <v>17</v>
      </c>
      <c r="B27" s="335">
        <v>4</v>
      </c>
    </row>
    <row r="28" spans="1:6" s="341" customFormat="1">
      <c r="A28" s="1296" t="s">
        <v>18</v>
      </c>
      <c r="B28" s="1296">
        <v>438166</v>
      </c>
    </row>
    <row r="29" spans="1:6">
      <c r="A29" s="1296" t="s">
        <v>909</v>
      </c>
      <c r="B29" s="1296">
        <v>413</v>
      </c>
      <c r="C29" s="341"/>
      <c r="D29" s="341"/>
      <c r="E29" s="341"/>
      <c r="F29" s="341"/>
    </row>
    <row r="30" spans="1:6">
      <c r="A30" s="1291" t="s">
        <v>910</v>
      </c>
      <c r="B30" s="1291">
        <v>87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24723.213754073699</v>
      </c>
      <c r="E36" s="335">
        <v>6</v>
      </c>
      <c r="F36" s="335">
        <v>22310.881034931801</v>
      </c>
    </row>
    <row r="37" spans="1:6">
      <c r="A37" s="1295" t="s">
        <v>25</v>
      </c>
      <c r="B37" s="1295" t="s">
        <v>28</v>
      </c>
      <c r="C37" s="335">
        <v>0</v>
      </c>
      <c r="D37" s="335">
        <v>0</v>
      </c>
      <c r="E37" s="335">
        <v>0</v>
      </c>
      <c r="F37" s="335">
        <v>0</v>
      </c>
    </row>
    <row r="38" spans="1:6">
      <c r="A38" s="1295" t="s">
        <v>25</v>
      </c>
      <c r="B38" s="1295" t="s">
        <v>29</v>
      </c>
      <c r="C38" s="335">
        <v>2</v>
      </c>
      <c r="D38" s="335">
        <v>274778.45044520398</v>
      </c>
      <c r="E38" s="335">
        <v>3</v>
      </c>
      <c r="F38" s="335">
        <v>10335.924360954899</v>
      </c>
    </row>
    <row r="39" spans="1:6">
      <c r="A39" s="1295" t="s">
        <v>30</v>
      </c>
      <c r="B39" s="1295" t="s">
        <v>31</v>
      </c>
      <c r="C39" s="335">
        <v>10249</v>
      </c>
      <c r="D39" s="335">
        <v>187458146.81131399</v>
      </c>
      <c r="E39" s="335">
        <v>15793</v>
      </c>
      <c r="F39" s="335">
        <v>57088658.642722704</v>
      </c>
    </row>
    <row r="40" spans="1:6">
      <c r="A40" s="1295" t="s">
        <v>30</v>
      </c>
      <c r="B40" s="1295" t="s">
        <v>29</v>
      </c>
      <c r="C40" s="335">
        <v>1</v>
      </c>
      <c r="D40" s="335">
        <v>689627.88261974195</v>
      </c>
      <c r="E40" s="335">
        <v>1</v>
      </c>
      <c r="F40" s="335">
        <v>16089</v>
      </c>
    </row>
    <row r="41" spans="1:6">
      <c r="A41" s="1295" t="s">
        <v>32</v>
      </c>
      <c r="B41" s="1295" t="s">
        <v>33</v>
      </c>
      <c r="C41" s="335">
        <v>110</v>
      </c>
      <c r="D41" s="335">
        <v>4269814.7210935801</v>
      </c>
      <c r="E41" s="335">
        <v>260</v>
      </c>
      <c r="F41" s="335">
        <v>4741903.5034529399</v>
      </c>
    </row>
    <row r="42" spans="1:6">
      <c r="A42" s="1295" t="s">
        <v>32</v>
      </c>
      <c r="B42" s="1295" t="s">
        <v>34</v>
      </c>
      <c r="C42" s="335">
        <v>11</v>
      </c>
      <c r="D42" s="335">
        <v>87615716.879728705</v>
      </c>
      <c r="E42" s="335">
        <v>15</v>
      </c>
      <c r="F42" s="335">
        <v>71112844.490623996</v>
      </c>
    </row>
    <row r="43" spans="1:6">
      <c r="A43" s="1295" t="s">
        <v>32</v>
      </c>
      <c r="B43" s="1295" t="s">
        <v>35</v>
      </c>
      <c r="C43" s="335">
        <v>3</v>
      </c>
      <c r="D43" s="335">
        <v>5928764.0605255496</v>
      </c>
      <c r="E43" s="335">
        <v>0</v>
      </c>
      <c r="F43" s="335">
        <v>0</v>
      </c>
    </row>
    <row r="44" spans="1:6">
      <c r="A44" s="1295" t="s">
        <v>32</v>
      </c>
      <c r="B44" s="1295" t="s">
        <v>36</v>
      </c>
      <c r="C44" s="335">
        <v>6</v>
      </c>
      <c r="D44" s="335">
        <v>291385.39421089698</v>
      </c>
      <c r="E44" s="335">
        <v>20</v>
      </c>
      <c r="F44" s="335">
        <v>1754100.7960045801</v>
      </c>
    </row>
    <row r="45" spans="1:6">
      <c r="A45" s="1295" t="s">
        <v>32</v>
      </c>
      <c r="B45" s="1295" t="s">
        <v>37</v>
      </c>
      <c r="C45" s="335">
        <v>0</v>
      </c>
      <c r="D45" s="335">
        <v>0</v>
      </c>
      <c r="E45" s="335">
        <v>4</v>
      </c>
      <c r="F45" s="335">
        <v>244765.267740143</v>
      </c>
    </row>
    <row r="46" spans="1:6">
      <c r="A46" s="1295" t="s">
        <v>32</v>
      </c>
      <c r="B46" s="1295" t="s">
        <v>38</v>
      </c>
      <c r="C46" s="335">
        <v>0</v>
      </c>
      <c r="D46" s="335">
        <v>0</v>
      </c>
      <c r="E46" s="335">
        <v>0</v>
      </c>
      <c r="F46" s="335">
        <v>0</v>
      </c>
    </row>
    <row r="47" spans="1:6">
      <c r="A47" s="1295" t="s">
        <v>32</v>
      </c>
      <c r="B47" s="1295" t="s">
        <v>39</v>
      </c>
      <c r="C47" s="335">
        <v>4</v>
      </c>
      <c r="D47" s="335">
        <v>237135.37028974199</v>
      </c>
      <c r="E47" s="335">
        <v>4</v>
      </c>
      <c r="F47" s="335">
        <v>101043.081806539</v>
      </c>
    </row>
    <row r="48" spans="1:6">
      <c r="A48" s="1295" t="s">
        <v>32</v>
      </c>
      <c r="B48" s="1295" t="s">
        <v>29</v>
      </c>
      <c r="C48" s="335">
        <v>44</v>
      </c>
      <c r="D48" s="335">
        <v>42547383.252068102</v>
      </c>
      <c r="E48" s="335">
        <v>57</v>
      </c>
      <c r="F48" s="335">
        <v>31046677.942297999</v>
      </c>
    </row>
    <row r="49" spans="1:6">
      <c r="A49" s="1295" t="s">
        <v>32</v>
      </c>
      <c r="B49" s="1295" t="s">
        <v>40</v>
      </c>
      <c r="C49" s="335">
        <v>0</v>
      </c>
      <c r="D49" s="335">
        <v>0</v>
      </c>
      <c r="E49" s="335">
        <v>0</v>
      </c>
      <c r="F49" s="335">
        <v>0</v>
      </c>
    </row>
    <row r="50" spans="1:6">
      <c r="A50" s="1295" t="s">
        <v>32</v>
      </c>
      <c r="B50" s="1295" t="s">
        <v>41</v>
      </c>
      <c r="C50" s="335">
        <v>9</v>
      </c>
      <c r="D50" s="335">
        <v>790426.04987170605</v>
      </c>
      <c r="E50" s="335">
        <v>16</v>
      </c>
      <c r="F50" s="335">
        <v>755842.14533911098</v>
      </c>
    </row>
    <row r="51" spans="1:6">
      <c r="A51" s="1295" t="s">
        <v>42</v>
      </c>
      <c r="B51" s="1295" t="s">
        <v>43</v>
      </c>
      <c r="C51" s="335">
        <v>7</v>
      </c>
      <c r="D51" s="335">
        <v>138104.126370226</v>
      </c>
      <c r="E51" s="335">
        <v>164</v>
      </c>
      <c r="F51" s="335">
        <v>3880244.1421927302</v>
      </c>
    </row>
    <row r="52" spans="1:6">
      <c r="A52" s="1295" t="s">
        <v>42</v>
      </c>
      <c r="B52" s="1295" t="s">
        <v>29</v>
      </c>
      <c r="C52" s="335">
        <v>8</v>
      </c>
      <c r="D52" s="335">
        <v>398458.84649699001</v>
      </c>
      <c r="E52" s="335">
        <v>3</v>
      </c>
      <c r="F52" s="335">
        <v>9641.9834255530004</v>
      </c>
    </row>
    <row r="53" spans="1:6">
      <c r="A53" s="1295" t="s">
        <v>44</v>
      </c>
      <c r="B53" s="1295" t="s">
        <v>45</v>
      </c>
      <c r="C53" s="335">
        <v>265</v>
      </c>
      <c r="D53" s="335">
        <v>8311114.3356270501</v>
      </c>
      <c r="E53" s="335">
        <v>689</v>
      </c>
      <c r="F53" s="335">
        <v>2933123.49661077</v>
      </c>
    </row>
    <row r="54" spans="1:6">
      <c r="A54" s="1295" t="s">
        <v>46</v>
      </c>
      <c r="B54" s="1295" t="s">
        <v>47</v>
      </c>
      <c r="C54" s="335">
        <v>0</v>
      </c>
      <c r="D54" s="335">
        <v>0</v>
      </c>
      <c r="E54" s="335">
        <v>1</v>
      </c>
      <c r="F54" s="335">
        <v>1697926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76</v>
      </c>
      <c r="D57" s="335">
        <v>4429699.9841366597</v>
      </c>
      <c r="E57" s="335">
        <v>325</v>
      </c>
      <c r="F57" s="335">
        <v>16340281.4875289</v>
      </c>
    </row>
    <row r="58" spans="1:6">
      <c r="A58" s="1295" t="s">
        <v>49</v>
      </c>
      <c r="B58" s="1295" t="s">
        <v>51</v>
      </c>
      <c r="C58" s="335">
        <v>83</v>
      </c>
      <c r="D58" s="335">
        <v>25037733.0236843</v>
      </c>
      <c r="E58" s="335">
        <v>115</v>
      </c>
      <c r="F58" s="335">
        <v>6892117.9211199097</v>
      </c>
    </row>
    <row r="59" spans="1:6">
      <c r="A59" s="1295" t="s">
        <v>49</v>
      </c>
      <c r="B59" s="1295" t="s">
        <v>52</v>
      </c>
      <c r="C59" s="335">
        <v>298</v>
      </c>
      <c r="D59" s="335">
        <v>18615962.750105001</v>
      </c>
      <c r="E59" s="335">
        <v>553</v>
      </c>
      <c r="F59" s="335">
        <v>17991862.270023402</v>
      </c>
    </row>
    <row r="60" spans="1:6">
      <c r="A60" s="1295" t="s">
        <v>49</v>
      </c>
      <c r="B60" s="1295" t="s">
        <v>53</v>
      </c>
      <c r="C60" s="335">
        <v>137</v>
      </c>
      <c r="D60" s="335">
        <v>7102271.1266877698</v>
      </c>
      <c r="E60" s="335">
        <v>225</v>
      </c>
      <c r="F60" s="335">
        <v>5426306.2169551803</v>
      </c>
    </row>
    <row r="61" spans="1:6">
      <c r="A61" s="1295" t="s">
        <v>49</v>
      </c>
      <c r="B61" s="1295" t="s">
        <v>54</v>
      </c>
      <c r="C61" s="335">
        <v>463</v>
      </c>
      <c r="D61" s="335">
        <v>28033762.4162784</v>
      </c>
      <c r="E61" s="335">
        <v>773</v>
      </c>
      <c r="F61" s="335">
        <v>25392670.159341</v>
      </c>
    </row>
    <row r="62" spans="1:6">
      <c r="A62" s="1295" t="s">
        <v>49</v>
      </c>
      <c r="B62" s="1295" t="s">
        <v>55</v>
      </c>
      <c r="C62" s="335">
        <v>38</v>
      </c>
      <c r="D62" s="335">
        <v>6354328.6388799604</v>
      </c>
      <c r="E62" s="335">
        <v>44</v>
      </c>
      <c r="F62" s="335">
        <v>2777094.4299048302</v>
      </c>
    </row>
    <row r="63" spans="1:6">
      <c r="A63" s="1295" t="s">
        <v>49</v>
      </c>
      <c r="B63" s="1295" t="s">
        <v>29</v>
      </c>
      <c r="C63" s="335">
        <v>111</v>
      </c>
      <c r="D63" s="335">
        <v>15207604.877474399</v>
      </c>
      <c r="E63" s="335">
        <v>101</v>
      </c>
      <c r="F63" s="335">
        <v>12859956.615648599</v>
      </c>
    </row>
    <row r="64" spans="1:6">
      <c r="A64" s="1295" t="s">
        <v>56</v>
      </c>
      <c r="B64" s="1295" t="s">
        <v>57</v>
      </c>
      <c r="C64" s="335">
        <v>0</v>
      </c>
      <c r="D64" s="335">
        <v>0</v>
      </c>
      <c r="E64" s="335">
        <v>0</v>
      </c>
      <c r="F64" s="335">
        <v>0</v>
      </c>
    </row>
    <row r="65" spans="1:6">
      <c r="A65" s="1295" t="s">
        <v>56</v>
      </c>
      <c r="B65" s="1295" t="s">
        <v>29</v>
      </c>
      <c r="C65" s="335">
        <v>2</v>
      </c>
      <c r="D65" s="335">
        <v>65102.247671421501</v>
      </c>
      <c r="E65" s="335">
        <v>4</v>
      </c>
      <c r="F65" s="335">
        <v>66798.881936870806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184894.54273932401</v>
      </c>
      <c r="E68" s="335">
        <v>24</v>
      </c>
      <c r="F68" s="335">
        <v>337132.59057025699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263313513</v>
      </c>
      <c r="E73" s="335">
        <v>281393687.3900882</v>
      </c>
    </row>
    <row r="74" spans="1:6">
      <c r="A74" s="1295" t="s">
        <v>64</v>
      </c>
      <c r="B74" s="1295" t="s">
        <v>727</v>
      </c>
      <c r="C74" s="1295" t="s">
        <v>728</v>
      </c>
      <c r="D74" s="335">
        <v>22973912.862046242</v>
      </c>
      <c r="E74" s="335">
        <v>26119228.271645259</v>
      </c>
    </row>
    <row r="75" spans="1:6">
      <c r="A75" s="1295" t="s">
        <v>65</v>
      </c>
      <c r="B75" s="1295" t="s">
        <v>725</v>
      </c>
      <c r="C75" s="1295" t="s">
        <v>729</v>
      </c>
      <c r="D75" s="335">
        <v>54916056</v>
      </c>
      <c r="E75" s="335">
        <v>58417157.115649074</v>
      </c>
    </row>
    <row r="76" spans="1:6">
      <c r="A76" s="1295" t="s">
        <v>65</v>
      </c>
      <c r="B76" s="1295" t="s">
        <v>727</v>
      </c>
      <c r="C76" s="1295" t="s">
        <v>730</v>
      </c>
      <c r="D76" s="335">
        <v>886421.86204624176</v>
      </c>
      <c r="E76" s="335">
        <v>1142233.0175830713</v>
      </c>
    </row>
    <row r="77" spans="1:6">
      <c r="A77" s="1295" t="s">
        <v>66</v>
      </c>
      <c r="B77" s="1295" t="s">
        <v>725</v>
      </c>
      <c r="C77" s="1295" t="s">
        <v>731</v>
      </c>
      <c r="D77" s="335">
        <v>73532978</v>
      </c>
      <c r="E77" s="335">
        <v>86233484.924706101</v>
      </c>
    </row>
    <row r="78" spans="1:6">
      <c r="A78" s="1291" t="s">
        <v>66</v>
      </c>
      <c r="B78" s="1291" t="s">
        <v>727</v>
      </c>
      <c r="C78" s="1291" t="s">
        <v>732</v>
      </c>
      <c r="D78" s="1291">
        <v>17037017</v>
      </c>
      <c r="E78" s="1291">
        <v>18636056.923486974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1007616.2759075164</v>
      </c>
      <c r="C83" s="335">
        <v>995459.28161202092</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9790.65</v>
      </c>
    </row>
    <row r="92" spans="1:6">
      <c r="A92" s="1291" t="s">
        <v>69</v>
      </c>
      <c r="B92" s="338">
        <v>10412.450000000001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5739</v>
      </c>
    </row>
    <row r="98" spans="1:6">
      <c r="A98" s="1295" t="s">
        <v>72</v>
      </c>
      <c r="B98" s="335">
        <v>29</v>
      </c>
    </row>
    <row r="99" spans="1:6">
      <c r="A99" s="1295" t="s">
        <v>73</v>
      </c>
      <c r="B99" s="335">
        <v>146</v>
      </c>
    </row>
    <row r="100" spans="1:6">
      <c r="A100" s="1295" t="s">
        <v>74</v>
      </c>
      <c r="B100" s="335">
        <v>564</v>
      </c>
    </row>
    <row r="101" spans="1:6">
      <c r="A101" s="1295" t="s">
        <v>75</v>
      </c>
      <c r="B101" s="335">
        <v>165</v>
      </c>
    </row>
    <row r="102" spans="1:6">
      <c r="A102" s="1295" t="s">
        <v>76</v>
      </c>
      <c r="B102" s="335">
        <v>199</v>
      </c>
    </row>
    <row r="103" spans="1:6">
      <c r="A103" s="1295" t="s">
        <v>77</v>
      </c>
      <c r="B103" s="335">
        <v>307</v>
      </c>
    </row>
    <row r="104" spans="1:6">
      <c r="A104" s="1295" t="s">
        <v>78</v>
      </c>
      <c r="B104" s="335">
        <v>6048</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53</v>
      </c>
      <c r="C123" s="335">
        <v>35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288</v>
      </c>
    </row>
    <row r="130" spans="1:6">
      <c r="A130" s="1295" t="s">
        <v>295</v>
      </c>
      <c r="B130" s="335">
        <v>2</v>
      </c>
    </row>
    <row r="131" spans="1:6">
      <c r="A131" s="1295" t="s">
        <v>296</v>
      </c>
      <c r="B131" s="335">
        <v>5</v>
      </c>
    </row>
    <row r="132" spans="1:6">
      <c r="A132" s="1291" t="s">
        <v>297</v>
      </c>
      <c r="B132" s="338">
        <v>46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272875.19137369754</v>
      </c>
      <c r="C3" s="43" t="s">
        <v>170</v>
      </c>
      <c r="D3" s="43"/>
      <c r="E3" s="156"/>
      <c r="F3" s="43"/>
      <c r="G3" s="43"/>
      <c r="H3" s="43"/>
      <c r="I3" s="43"/>
      <c r="J3" s="43"/>
      <c r="K3" s="96"/>
    </row>
    <row r="4" spans="1:11">
      <c r="A4" s="366" t="s">
        <v>171</v>
      </c>
      <c r="B4" s="49">
        <f>IF(ISERROR('SEAP template'!B78+'SEAP template'!C78),0,'SEAP template'!B78+'SEAP template'!C78)</f>
        <v>33604.1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0.19378423860148744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19144.285714285717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1697.9259999999999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1697.9259999999999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0.19378423860148744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329.03129711166918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57104.747642722701</v>
      </c>
      <c r="C5" s="17">
        <f>IF(ISERROR('Eigen informatie GS &amp; warmtenet'!B57),0,'Eigen informatie GS &amp; warmtenet'!B57)</f>
        <v>0</v>
      </c>
      <c r="D5" s="30">
        <f>(SUM(HH_hh_gas_kWh,HH_rest_gas_kWh)/1000)*0.902</f>
        <v>169709.29277392823</v>
      </c>
      <c r="E5" s="17">
        <f>B46*B57</f>
        <v>12526.993691044139</v>
      </c>
      <c r="F5" s="17">
        <f>B51*B62</f>
        <v>50272.84476066121</v>
      </c>
      <c r="G5" s="18"/>
      <c r="H5" s="17"/>
      <c r="I5" s="17"/>
      <c r="J5" s="17">
        <f>B50*B61+C50*C61</f>
        <v>0</v>
      </c>
      <c r="K5" s="17"/>
      <c r="L5" s="17"/>
      <c r="M5" s="17"/>
      <c r="N5" s="17">
        <f>B48*B59+C48*C59</f>
        <v>53074.385451068796</v>
      </c>
      <c r="O5" s="17">
        <f>B69*B70*B71</f>
        <v>506.52</v>
      </c>
      <c r="P5" s="17">
        <f>B77*B78*B79/1000-B77*B78*B79/1000/B80</f>
        <v>1906.6666666666665</v>
      </c>
    </row>
    <row r="6" spans="1:16">
      <c r="A6" s="16" t="s">
        <v>634</v>
      </c>
      <c r="B6" s="783">
        <f>kWh_PV_kleiner_dan_10kW</f>
        <v>9790.65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66895.397642722703</v>
      </c>
      <c r="C8" s="21">
        <f>C5</f>
        <v>0</v>
      </c>
      <c r="D8" s="21">
        <f>D5</f>
        <v>169709.29277392823</v>
      </c>
      <c r="E8" s="21">
        <f>E5</f>
        <v>12526.993691044139</v>
      </c>
      <c r="F8" s="21">
        <f>F5</f>
        <v>50272.84476066121</v>
      </c>
      <c r="G8" s="21"/>
      <c r="H8" s="21"/>
      <c r="I8" s="21"/>
      <c r="J8" s="21">
        <f>J5</f>
        <v>0</v>
      </c>
      <c r="K8" s="21"/>
      <c r="L8" s="21">
        <f>L5</f>
        <v>0</v>
      </c>
      <c r="M8" s="21">
        <f>M5</f>
        <v>0</v>
      </c>
      <c r="N8" s="21">
        <f>N5</f>
        <v>53074.385451068796</v>
      </c>
      <c r="O8" s="21">
        <f>O5</f>
        <v>506.52</v>
      </c>
      <c r="P8" s="21">
        <f>P5</f>
        <v>1906.6666666666665</v>
      </c>
    </row>
    <row r="9" spans="1:16">
      <c r="B9" s="19"/>
      <c r="C9" s="19"/>
      <c r="D9" s="261"/>
      <c r="E9" s="19"/>
      <c r="F9" s="19"/>
      <c r="G9" s="19"/>
      <c r="H9" s="19"/>
      <c r="I9" s="19"/>
      <c r="J9" s="19"/>
      <c r="K9" s="19"/>
      <c r="L9" s="19"/>
      <c r="M9" s="19"/>
      <c r="N9" s="19"/>
      <c r="O9" s="19"/>
      <c r="P9" s="19"/>
    </row>
    <row r="10" spans="1:16">
      <c r="A10" s="24" t="s">
        <v>214</v>
      </c>
      <c r="B10" s="25">
        <f ca="1">'EF ele_warmte'!B12</f>
        <v>0.19378423860148744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12963.273698138757</v>
      </c>
      <c r="C12" s="23">
        <f ca="1">C10*C8</f>
        <v>0</v>
      </c>
      <c r="D12" s="23">
        <f>D8*D10</f>
        <v>34281.277140333506</v>
      </c>
      <c r="E12" s="23">
        <f>E10*E8</f>
        <v>2843.6275678670195</v>
      </c>
      <c r="F12" s="23">
        <f>F10*F8</f>
        <v>13422.849551096544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5739</v>
      </c>
      <c r="C18" s="168" t="s">
        <v>111</v>
      </c>
      <c r="D18" s="230"/>
      <c r="E18" s="15"/>
    </row>
    <row r="19" spans="1:7">
      <c r="A19" s="173" t="s">
        <v>72</v>
      </c>
      <c r="B19" s="37">
        <f>aantalw2001_ander</f>
        <v>29</v>
      </c>
      <c r="C19" s="168" t="s">
        <v>111</v>
      </c>
      <c r="D19" s="231"/>
      <c r="E19" s="15"/>
    </row>
    <row r="20" spans="1:7">
      <c r="A20" s="173" t="s">
        <v>73</v>
      </c>
      <c r="B20" s="37">
        <f>aantalw2001_propaan</f>
        <v>146</v>
      </c>
      <c r="C20" s="169">
        <f>IF(ISERROR(B20/SUM($B$20,$B$21,$B$22)*100),0,B20/SUM($B$20,$B$21,$B$22)*100)</f>
        <v>16.685714285714287</v>
      </c>
      <c r="D20" s="231"/>
      <c r="E20" s="15"/>
    </row>
    <row r="21" spans="1:7">
      <c r="A21" s="173" t="s">
        <v>74</v>
      </c>
      <c r="B21" s="37">
        <f>aantalw2001_elektriciteit</f>
        <v>564</v>
      </c>
      <c r="C21" s="169">
        <f>IF(ISERROR(B21/SUM($B$20,$B$21,$B$22)*100),0,B21/SUM($B$20,$B$21,$B$22)*100)</f>
        <v>64.457142857142856</v>
      </c>
      <c r="D21" s="231"/>
      <c r="E21" s="15"/>
    </row>
    <row r="22" spans="1:7">
      <c r="A22" s="173" t="s">
        <v>75</v>
      </c>
      <c r="B22" s="37">
        <f>aantalw2001_hout</f>
        <v>165</v>
      </c>
      <c r="C22" s="169">
        <f>IF(ISERROR(B22/SUM($B$20,$B$21,$B$22)*100),0,B22/SUM($B$20,$B$21,$B$22)*100)</f>
        <v>18.857142857142858</v>
      </c>
      <c r="D22" s="231"/>
      <c r="E22" s="15"/>
    </row>
    <row r="23" spans="1:7">
      <c r="A23" s="173" t="s">
        <v>76</v>
      </c>
      <c r="B23" s="37">
        <f>aantalw2001_niet_gespec</f>
        <v>199</v>
      </c>
      <c r="C23" s="168" t="s">
        <v>111</v>
      </c>
      <c r="D23" s="230"/>
      <c r="E23" s="15"/>
    </row>
    <row r="24" spans="1:7">
      <c r="A24" s="173" t="s">
        <v>77</v>
      </c>
      <c r="B24" s="37">
        <f>aantalw2001_steenkool</f>
        <v>307</v>
      </c>
      <c r="C24" s="168" t="s">
        <v>111</v>
      </c>
      <c r="D24" s="231"/>
      <c r="E24" s="15"/>
    </row>
    <row r="25" spans="1:7">
      <c r="A25" s="173" t="s">
        <v>78</v>
      </c>
      <c r="B25" s="37">
        <f>aantalw2001_stookolie</f>
        <v>6048</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15941</v>
      </c>
      <c r="C28" s="36"/>
      <c r="D28" s="230"/>
    </row>
    <row r="29" spans="1:7" s="15" customFormat="1">
      <c r="A29" s="232" t="s">
        <v>746</v>
      </c>
      <c r="B29" s="37">
        <f>SUM(HH_hh_gas_aantal,HH_rest_gas_aantal)</f>
        <v>10250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10250</v>
      </c>
      <c r="C32" s="169">
        <f>IF(ISERROR(B32/SUM($B$32,$B$34,$B$35,$B$36,$B$38,$B$39)*100),0,B32/SUM($B$32,$B$34,$B$35,$B$36,$B$38,$B$39)*100)</f>
        <v>64.705511015718713</v>
      </c>
      <c r="D32" s="235"/>
      <c r="G32" s="15"/>
    </row>
    <row r="33" spans="1:7">
      <c r="A33" s="173" t="s">
        <v>72</v>
      </c>
      <c r="B33" s="34" t="s">
        <v>111</v>
      </c>
      <c r="C33" s="169"/>
      <c r="D33" s="235"/>
      <c r="G33" s="15"/>
    </row>
    <row r="34" spans="1:7">
      <c r="A34" s="173" t="s">
        <v>73</v>
      </c>
      <c r="B34" s="33">
        <f>IF((($B$28-$B$32-$B$39-$B$77-$B$38)*C20/100)&lt;0,0,($B$28-$B$32-$B$39-$B$77-$B$38)*C20/100)</f>
        <v>601.16960000000006</v>
      </c>
      <c r="C34" s="169">
        <f>IF(ISERROR(B34/SUM($B$32,$B$34,$B$35,$B$36,$B$38,$B$39)*100),0,B34/SUM($B$32,$B$34,$B$35,$B$36,$B$38,$B$39)*100)</f>
        <v>3.7950230414746544</v>
      </c>
      <c r="D34" s="235"/>
      <c r="G34" s="15"/>
    </row>
    <row r="35" spans="1:7">
      <c r="A35" s="173" t="s">
        <v>74</v>
      </c>
      <c r="B35" s="33">
        <f>IF((($B$28-$B$32-$B$39-$B$77-$B$38)*C21/100)&lt;0,0,($B$28-$B$32-$B$39-$B$77-$B$38)*C21/100)</f>
        <v>2322.3263999999999</v>
      </c>
      <c r="C35" s="169">
        <f>IF(ISERROR(B35/SUM($B$32,$B$34,$B$35,$B$36,$B$38,$B$39)*100),0,B35/SUM($B$32,$B$34,$B$35,$B$36,$B$38,$B$39)*100)</f>
        <v>14.660225995833596</v>
      </c>
      <c r="D35" s="235"/>
      <c r="G35" s="15"/>
    </row>
    <row r="36" spans="1:7">
      <c r="A36" s="173" t="s">
        <v>75</v>
      </c>
      <c r="B36" s="33">
        <f>IF((($B$28-$B$32-$B$39-$B$77-$B$38)*C22/100)&lt;0,0,($B$28-$B$32-$B$39-$B$77-$B$38)*C22/100)</f>
        <v>679.40400000000011</v>
      </c>
      <c r="C36" s="169">
        <f>IF(ISERROR(B36/SUM($B$32,$B$34,$B$35,$B$36,$B$38,$B$39)*100),0,B36/SUM($B$32,$B$34,$B$35,$B$36,$B$38,$B$39)*100)</f>
        <v>4.2888959030364253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1988.1</v>
      </c>
      <c r="C39" s="169">
        <f>IF(ISERROR(B39/SUM($B$32,$B$34,$B$35,$B$36,$B$38,$B$39)*100),0,B39/SUM($B$32,$B$34,$B$35,$B$36,$B$38,$B$39)*100)</f>
        <v>12.550344043936621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10250</v>
      </c>
      <c r="C44" s="34" t="s">
        <v>111</v>
      </c>
      <c r="D44" s="176"/>
    </row>
    <row r="45" spans="1:7">
      <c r="A45" s="173" t="s">
        <v>72</v>
      </c>
      <c r="B45" s="33" t="str">
        <f t="shared" si="0"/>
        <v>-</v>
      </c>
      <c r="C45" s="34" t="s">
        <v>111</v>
      </c>
      <c r="D45" s="176"/>
    </row>
    <row r="46" spans="1:7">
      <c r="A46" s="173" t="s">
        <v>73</v>
      </c>
      <c r="B46" s="33">
        <f t="shared" si="0"/>
        <v>601.16960000000006</v>
      </c>
      <c r="C46" s="34" t="s">
        <v>111</v>
      </c>
      <c r="D46" s="176"/>
    </row>
    <row r="47" spans="1:7">
      <c r="A47" s="173" t="s">
        <v>74</v>
      </c>
      <c r="B47" s="33">
        <f t="shared" si="0"/>
        <v>2322.3263999999999</v>
      </c>
      <c r="C47" s="34" t="s">
        <v>111</v>
      </c>
      <c r="D47" s="176"/>
    </row>
    <row r="48" spans="1:7">
      <c r="A48" s="173" t="s">
        <v>75</v>
      </c>
      <c r="B48" s="33">
        <f t="shared" si="0"/>
        <v>679.40400000000011</v>
      </c>
      <c r="C48" s="33">
        <f>B48*10</f>
        <v>6794.0400000000009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1988.1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87680.289100521812</v>
      </c>
      <c r="C5" s="17">
        <f>IF(ISERROR('Eigen informatie GS &amp; warmtenet'!B58),0,'Eigen informatie GS &amp; warmtenet'!B58)</f>
        <v>0</v>
      </c>
      <c r="D5" s="30">
        <f>SUM(D6:D12)</f>
        <v>94512.789261156344</v>
      </c>
      <c r="E5" s="17">
        <f>SUM(E6:E12)</f>
        <v>904.71499320245198</v>
      </c>
      <c r="F5" s="17">
        <f>SUM(F6:F12)</f>
        <v>18094.508139423946</v>
      </c>
      <c r="G5" s="18"/>
      <c r="H5" s="17"/>
      <c r="I5" s="17"/>
      <c r="J5" s="17">
        <f>SUM(J6:J12)</f>
        <v>0</v>
      </c>
      <c r="K5" s="17"/>
      <c r="L5" s="17"/>
      <c r="M5" s="17"/>
      <c r="N5" s="17">
        <f>SUM(N6:N12)</f>
        <v>12535.089609185048</v>
      </c>
      <c r="O5" s="17">
        <f>B38*B39*B40</f>
        <v>3.1266666666666669</v>
      </c>
      <c r="P5" s="17">
        <f>B46*B47*B48/1000-B46*B47*B48/1000/B49</f>
        <v>114.4</v>
      </c>
      <c r="R5" s="32"/>
    </row>
    <row r="6" spans="1:18">
      <c r="A6" s="32" t="s">
        <v>54</v>
      </c>
      <c r="B6" s="37">
        <f>B26</f>
        <v>25392.670159341</v>
      </c>
      <c r="C6" s="33"/>
      <c r="D6" s="37">
        <f>IF(ISERROR(TER_kantoor_gas_kWh/1000),0,TER_kantoor_gas_kWh/1000)*0.902</f>
        <v>25286.453699483114</v>
      </c>
      <c r="E6" s="33">
        <f>$C$26*'E Balans VL '!I12/100/3.6*1000000</f>
        <v>98.655899510540891</v>
      </c>
      <c r="F6" s="33">
        <f>$C$26*('E Balans VL '!L12+'E Balans VL '!N12)/100/3.6*1000000</f>
        <v>3861.9940763586087</v>
      </c>
      <c r="G6" s="34"/>
      <c r="H6" s="33"/>
      <c r="I6" s="33"/>
      <c r="J6" s="33">
        <f>$C$26*('E Balans VL '!D12+'E Balans VL '!E12)/100/3.6*1000000</f>
        <v>0</v>
      </c>
      <c r="K6" s="33"/>
      <c r="L6" s="33"/>
      <c r="M6" s="33"/>
      <c r="N6" s="33">
        <f>$C$26*'E Balans VL '!Y12/100/3.6*1000000</f>
        <v>13.99440322476763</v>
      </c>
      <c r="O6" s="33"/>
      <c r="P6" s="33"/>
      <c r="R6" s="32"/>
    </row>
    <row r="7" spans="1:18">
      <c r="A7" s="32" t="s">
        <v>53</v>
      </c>
      <c r="B7" s="37">
        <f t="shared" ref="B7:B12" si="0">B27</f>
        <v>5426.3062169551804</v>
      </c>
      <c r="C7" s="33"/>
      <c r="D7" s="37">
        <f>IF(ISERROR(TER_horeca_gas_kWh/1000),0,TER_horeca_gas_kWh/1000)*0.902</f>
        <v>6406.2485562723687</v>
      </c>
      <c r="E7" s="33">
        <f>$C$27*'E Balans VL '!I9/100/3.6*1000000</f>
        <v>305.66527995500314</v>
      </c>
      <c r="F7" s="33">
        <f>$C$27*('E Balans VL '!L9+'E Balans VL '!N9)/100/3.6*1000000</f>
        <v>1564.621846648485</v>
      </c>
      <c r="G7" s="34"/>
      <c r="H7" s="33"/>
      <c r="I7" s="33"/>
      <c r="J7" s="33">
        <f>$C$27*('E Balans VL '!D9+'E Balans VL '!E9)/100/3.6*1000000</f>
        <v>0</v>
      </c>
      <c r="K7" s="33"/>
      <c r="L7" s="33"/>
      <c r="M7" s="33"/>
      <c r="N7" s="33">
        <f>$C$27*'E Balans VL '!Y9/100/3.6*1000000</f>
        <v>1.4981749487611833</v>
      </c>
      <c r="O7" s="33"/>
      <c r="P7" s="33"/>
      <c r="R7" s="32"/>
    </row>
    <row r="8" spans="1:18">
      <c r="A8" s="6" t="s">
        <v>52</v>
      </c>
      <c r="B8" s="37">
        <f t="shared" si="0"/>
        <v>17991.862270023401</v>
      </c>
      <c r="C8" s="33"/>
      <c r="D8" s="37">
        <f>IF(ISERROR(TER_handel_gas_kWh/1000),0,TER_handel_gas_kWh/1000)*0.902</f>
        <v>16791.59840059471</v>
      </c>
      <c r="E8" s="33">
        <f>$C$28*'E Balans VL '!I13/100/3.6*1000000</f>
        <v>259.32377562769273</v>
      </c>
      <c r="F8" s="33">
        <f>$C$28*('E Balans VL '!L13+'E Balans VL '!N13)/100/3.6*1000000</f>
        <v>3125.6054785015467</v>
      </c>
      <c r="G8" s="34"/>
      <c r="H8" s="33"/>
      <c r="I8" s="33"/>
      <c r="J8" s="33">
        <f>$C$28*('E Balans VL '!D13+'E Balans VL '!E13)/100/3.6*1000000</f>
        <v>0</v>
      </c>
      <c r="K8" s="33"/>
      <c r="L8" s="33"/>
      <c r="M8" s="33"/>
      <c r="N8" s="33">
        <f>$C$28*'E Balans VL '!Y13/100/3.6*1000000</f>
        <v>53.905622256357965</v>
      </c>
      <c r="O8" s="33"/>
      <c r="P8" s="33"/>
      <c r="R8" s="32"/>
    </row>
    <row r="9" spans="1:18">
      <c r="A9" s="32" t="s">
        <v>51</v>
      </c>
      <c r="B9" s="37">
        <f t="shared" si="0"/>
        <v>6892.1179211199096</v>
      </c>
      <c r="C9" s="33"/>
      <c r="D9" s="37">
        <f>IF(ISERROR(TER_gezond_gas_kWh/1000),0,TER_gezond_gas_kWh/1000)*0.902</f>
        <v>22584.035187363239</v>
      </c>
      <c r="E9" s="33">
        <f>$C$29*'E Balans VL '!I10/100/3.6*1000000</f>
        <v>7.3625683111188094</v>
      </c>
      <c r="F9" s="33">
        <f>$C$29*('E Balans VL '!L10+'E Balans VL '!N10)/100/3.6*1000000</f>
        <v>1124.3138922582916</v>
      </c>
      <c r="G9" s="34"/>
      <c r="H9" s="33"/>
      <c r="I9" s="33"/>
      <c r="J9" s="33">
        <f>$C$29*('E Balans VL '!D10+'E Balans VL '!E10)/100/3.6*1000000</f>
        <v>0</v>
      </c>
      <c r="K9" s="33"/>
      <c r="L9" s="33"/>
      <c r="M9" s="33"/>
      <c r="N9" s="33">
        <f>$C$29*'E Balans VL '!Y10/100/3.6*1000000</f>
        <v>70.95042143389955</v>
      </c>
      <c r="O9" s="33"/>
      <c r="P9" s="33"/>
      <c r="R9" s="32"/>
    </row>
    <row r="10" spans="1:18">
      <c r="A10" s="32" t="s">
        <v>50</v>
      </c>
      <c r="B10" s="37">
        <f t="shared" si="0"/>
        <v>16340.2814875289</v>
      </c>
      <c r="C10" s="33"/>
      <c r="D10" s="37">
        <f>IF(ISERROR(TER_ander_gas_kWh/1000),0,TER_ander_gas_kWh/1000)*0.902</f>
        <v>3995.5893856912671</v>
      </c>
      <c r="E10" s="33">
        <f>$C$30*'E Balans VL '!I14/100/3.6*1000000</f>
        <v>75.146469019820387</v>
      </c>
      <c r="F10" s="33">
        <f>$C$30*('E Balans VL '!L14+'E Balans VL '!N14)/100/3.6*1000000</f>
        <v>4897.6977806154928</v>
      </c>
      <c r="G10" s="34"/>
      <c r="H10" s="33"/>
      <c r="I10" s="33"/>
      <c r="J10" s="33">
        <f>$C$30*('E Balans VL '!D14+'E Balans VL '!E14)/100/3.6*1000000</f>
        <v>0</v>
      </c>
      <c r="K10" s="33"/>
      <c r="L10" s="33"/>
      <c r="M10" s="33"/>
      <c r="N10" s="33">
        <f>$C$30*'E Balans VL '!Y14/100/3.6*1000000</f>
        <v>11373.914549861645</v>
      </c>
      <c r="O10" s="33"/>
      <c r="P10" s="33"/>
      <c r="R10" s="32"/>
    </row>
    <row r="11" spans="1:18">
      <c r="A11" s="32" t="s">
        <v>55</v>
      </c>
      <c r="B11" s="37">
        <f t="shared" si="0"/>
        <v>2777.0944299048301</v>
      </c>
      <c r="C11" s="33"/>
      <c r="D11" s="37">
        <f>IF(ISERROR(TER_onderwijs_gas_kWh/1000),0,TER_onderwijs_gas_kWh/1000)*0.902</f>
        <v>5731.6044322697244</v>
      </c>
      <c r="E11" s="33">
        <f>$C$31*'E Balans VL '!I11/100/3.6*1000000</f>
        <v>2.5761202960322178</v>
      </c>
      <c r="F11" s="33">
        <f>$C$31*('E Balans VL '!L11+'E Balans VL '!N11)/100/3.6*1000000</f>
        <v>975.52944629900958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12859.9566156486</v>
      </c>
      <c r="C12" s="33"/>
      <c r="D12" s="37">
        <f>IF(ISERROR(TER_rest_gas_kWh/1000),0,TER_rest_gas_kWh/1000)*0.902</f>
        <v>13717.259599481909</v>
      </c>
      <c r="E12" s="33">
        <f>$C$32*'E Balans VL '!I8/100/3.6*1000000</f>
        <v>155.98488048224371</v>
      </c>
      <c r="F12" s="33">
        <f>$C$32*('E Balans VL '!L8+'E Balans VL '!N8)/100/3.6*1000000</f>
        <v>2544.7456187425119</v>
      </c>
      <c r="G12" s="34"/>
      <c r="H12" s="33"/>
      <c r="I12" s="33"/>
      <c r="J12" s="33">
        <f>$C$32*('E Balans VL '!D8+'E Balans VL '!E8)/100/3.6*1000000</f>
        <v>0</v>
      </c>
      <c r="K12" s="33"/>
      <c r="L12" s="33"/>
      <c r="M12" s="33"/>
      <c r="N12" s="33">
        <f>$C$32*'E Balans VL '!Y8/100/3.6*1000000</f>
        <v>1020.8264374596172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87680.289100521812</v>
      </c>
      <c r="C16" s="21">
        <f t="shared" ca="1" si="1"/>
        <v>0</v>
      </c>
      <c r="D16" s="21">
        <f t="shared" ca="1" si="1"/>
        <v>94512.789261156344</v>
      </c>
      <c r="E16" s="21">
        <f t="shared" si="1"/>
        <v>904.71499320245198</v>
      </c>
      <c r="F16" s="21">
        <f t="shared" ca="1" si="1"/>
        <v>18094.508139423946</v>
      </c>
      <c r="G16" s="21">
        <f t="shared" si="1"/>
        <v>0</v>
      </c>
      <c r="H16" s="21">
        <f t="shared" si="1"/>
        <v>0</v>
      </c>
      <c r="I16" s="21">
        <f t="shared" si="1"/>
        <v>0</v>
      </c>
      <c r="J16" s="21">
        <f t="shared" si="1"/>
        <v>0</v>
      </c>
      <c r="K16" s="21">
        <f t="shared" si="1"/>
        <v>0</v>
      </c>
      <c r="L16" s="21">
        <f t="shared" ca="1" si="1"/>
        <v>0</v>
      </c>
      <c r="M16" s="21">
        <f t="shared" si="1"/>
        <v>0</v>
      </c>
      <c r="N16" s="21">
        <f t="shared" ca="1" si="1"/>
        <v>12535.089609185048</v>
      </c>
      <c r="O16" s="21">
        <f>O5</f>
        <v>3.1266666666666669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0.19378423860148744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16991.058063702916</v>
      </c>
      <c r="C20" s="23">
        <f t="shared" ref="C20:P20" ca="1" si="2">C16*C18</f>
        <v>0</v>
      </c>
      <c r="D20" s="23">
        <f t="shared" ca="1" si="2"/>
        <v>19091.583430753584</v>
      </c>
      <c r="E20" s="23">
        <f t="shared" si="2"/>
        <v>205.37030345695661</v>
      </c>
      <c r="F20" s="23">
        <f t="shared" ca="1" si="2"/>
        <v>4831.2336732261938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25392.670159341</v>
      </c>
      <c r="C26" s="39">
        <f>IF(ISERROR(B26*3.6/1000000/'E Balans VL '!Z12*100),0,B26*3.6/1000000/'E Balans VL '!Z12*100)</f>
        <v>0.53935289207809589</v>
      </c>
      <c r="D26" s="239" t="s">
        <v>692</v>
      </c>
      <c r="F26" s="6"/>
    </row>
    <row r="27" spans="1:18">
      <c r="A27" s="233" t="s">
        <v>53</v>
      </c>
      <c r="B27" s="33">
        <f>IF(ISERROR(TER_horeca_ele_kWh/1000),0,TER_horeca_ele_kWh/1000)</f>
        <v>5426.3062169551804</v>
      </c>
      <c r="C27" s="39">
        <f>IF(ISERROR(B27*3.6/1000000/'E Balans VL '!Z9*100),0,B27*3.6/1000000/'E Balans VL '!Z9*100)</f>
        <v>0.42192835499798342</v>
      </c>
      <c r="D27" s="239" t="s">
        <v>692</v>
      </c>
      <c r="F27" s="6"/>
    </row>
    <row r="28" spans="1:18">
      <c r="A28" s="173" t="s">
        <v>52</v>
      </c>
      <c r="B28" s="33">
        <f>IF(ISERROR(TER_handel_ele_kWh/1000),0,TER_handel_ele_kWh/1000)</f>
        <v>17991.862270023401</v>
      </c>
      <c r="C28" s="39">
        <f>IF(ISERROR(B28*3.6/1000000/'E Balans VL '!Z13*100),0,B28*3.6/1000000/'E Balans VL '!Z13*100)</f>
        <v>0.51476835384908826</v>
      </c>
      <c r="D28" s="239" t="s">
        <v>692</v>
      </c>
      <c r="F28" s="6"/>
    </row>
    <row r="29" spans="1:18">
      <c r="A29" s="233" t="s">
        <v>51</v>
      </c>
      <c r="B29" s="33">
        <f>IF(ISERROR(TER_gezond_ele_kWh/1000),0,TER_gezond_ele_kWh/1000)</f>
        <v>6892.1179211199096</v>
      </c>
      <c r="C29" s="39">
        <f>IF(ISERROR(B29*3.6/1000000/'E Balans VL '!Z10*100),0,B29*3.6/1000000/'E Balans VL '!Z10*100)</f>
        <v>0.75140100701504187</v>
      </c>
      <c r="D29" s="239" t="s">
        <v>692</v>
      </c>
      <c r="F29" s="6"/>
    </row>
    <row r="30" spans="1:18">
      <c r="A30" s="233" t="s">
        <v>50</v>
      </c>
      <c r="B30" s="33">
        <f>IF(ISERROR(TER_ander_ele_kWh/1000),0,TER_ander_ele_kWh/1000)</f>
        <v>16340.2814875289</v>
      </c>
      <c r="C30" s="39">
        <f>IF(ISERROR(B30*3.6/1000000/'E Balans VL '!Z14*100),0,B30*3.6/1000000/'E Balans VL '!Z14*100)</f>
        <v>1.1957447322075014</v>
      </c>
      <c r="D30" s="239" t="s">
        <v>692</v>
      </c>
      <c r="F30" s="6"/>
    </row>
    <row r="31" spans="1:18">
      <c r="A31" s="233" t="s">
        <v>55</v>
      </c>
      <c r="B31" s="33">
        <f>IF(ISERROR(TER_onderwijs_ele_kWh/1000),0,TER_onderwijs_ele_kWh/1000)</f>
        <v>2777.0944299048301</v>
      </c>
      <c r="C31" s="39">
        <f>IF(ISERROR(B31*3.6/1000000/'E Balans VL '!Z11*100),0,B31*3.6/1000000/'E Balans VL '!Z11*100)</f>
        <v>0.55778147845984338</v>
      </c>
      <c r="D31" s="239" t="s">
        <v>692</v>
      </c>
    </row>
    <row r="32" spans="1:18">
      <c r="A32" s="233" t="s">
        <v>260</v>
      </c>
      <c r="B32" s="33">
        <f>IF(ISERROR(TER_rest_ele_kWh/1000),0,TER_rest_ele_kWh/1000)</f>
        <v>12859.9566156486</v>
      </c>
      <c r="C32" s="39">
        <f>IF(ISERROR(B32*3.6/1000000/'E Balans VL '!Z8*100),0,B32*3.6/1000000/'E Balans VL '!Z8*100)</f>
        <v>0.1048008421063968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109757.1772272653</v>
      </c>
      <c r="C5" s="17">
        <f>IF(ISERROR('Eigen informatie GS &amp; warmtenet'!B59),0,'Eigen informatie GS &amp; warmtenet'!B59)</f>
        <v>0</v>
      </c>
      <c r="D5" s="30">
        <f>SUM(D6:D15)</f>
        <v>127795.92440646503</v>
      </c>
      <c r="E5" s="17">
        <f>SUM(E6:E15)</f>
        <v>3466.7188583255911</v>
      </c>
      <c r="F5" s="17">
        <f>SUM(F6:F15)</f>
        <v>13477.818070955438</v>
      </c>
      <c r="G5" s="18"/>
      <c r="H5" s="17"/>
      <c r="I5" s="17"/>
      <c r="J5" s="17">
        <f>SUM(J6:J15)</f>
        <v>80.93077442073151</v>
      </c>
      <c r="K5" s="17"/>
      <c r="L5" s="17"/>
      <c r="M5" s="17"/>
      <c r="N5" s="17">
        <f>SUM(N6:N15)</f>
        <v>9853.1758549919941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5347.7451825940452</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1754.1007960045802</v>
      </c>
      <c r="C8" s="33"/>
      <c r="D8" s="37">
        <f>IF( ISERROR(IND_metaal_Gas_kWH/1000),0,IND_metaal_Gas_kWH/1000)*0.902</f>
        <v>262.82962557822913</v>
      </c>
      <c r="E8" s="33">
        <f>C30*'E Balans VL '!I18/100/3.6*1000000</f>
        <v>50.384358947913491</v>
      </c>
      <c r="F8" s="33">
        <f>C30*'E Balans VL '!L18/100/3.6*1000000+C30*'E Balans VL '!N18/100/3.6*1000000</f>
        <v>449.89311796859408</v>
      </c>
      <c r="G8" s="34"/>
      <c r="H8" s="33"/>
      <c r="I8" s="33"/>
      <c r="J8" s="40">
        <f>C30*'E Balans VL '!D18/100/3.6*1000000+C30*'E Balans VL '!E18/100/3.6*1000000</f>
        <v>0</v>
      </c>
      <c r="K8" s="33"/>
      <c r="L8" s="33"/>
      <c r="M8" s="33"/>
      <c r="N8" s="33">
        <f>C30*'E Balans VL '!Y18/100/3.6*1000000</f>
        <v>47.627417238544076</v>
      </c>
      <c r="O8" s="33"/>
      <c r="P8" s="33"/>
      <c r="R8" s="32"/>
    </row>
    <row r="9" spans="1:18">
      <c r="A9" s="6" t="s">
        <v>33</v>
      </c>
      <c r="B9" s="37">
        <f t="shared" si="0"/>
        <v>4741.9035034529397</v>
      </c>
      <c r="C9" s="33"/>
      <c r="D9" s="37">
        <f>IF( ISERROR(IND_andere_gas_kWh/1000),0,IND_andere_gas_kWh/1000)*0.902</f>
        <v>3851.3728784264094</v>
      </c>
      <c r="E9" s="33">
        <f>C31*'E Balans VL '!I19/100/3.6*1000000</f>
        <v>1283.5166890114815</v>
      </c>
      <c r="F9" s="33">
        <f>C31*'E Balans VL '!L19/100/3.6*1000000+C31*'E Balans VL '!N19/100/3.6*1000000</f>
        <v>3158.6095315110774</v>
      </c>
      <c r="G9" s="34"/>
      <c r="H9" s="33"/>
      <c r="I9" s="33"/>
      <c r="J9" s="40">
        <f>C31*'E Balans VL '!D19/100/3.6*1000000+C31*'E Balans VL '!E19/100/3.6*1000000</f>
        <v>0</v>
      </c>
      <c r="K9" s="33"/>
      <c r="L9" s="33"/>
      <c r="M9" s="33"/>
      <c r="N9" s="33">
        <f>C31*'E Balans VL '!Y19/100/3.6*1000000</f>
        <v>1548.1527241166339</v>
      </c>
      <c r="O9" s="33"/>
      <c r="P9" s="33"/>
      <c r="R9" s="32"/>
    </row>
    <row r="10" spans="1:18">
      <c r="A10" s="6" t="s">
        <v>41</v>
      </c>
      <c r="B10" s="37">
        <f t="shared" si="0"/>
        <v>755.84214533911097</v>
      </c>
      <c r="C10" s="33"/>
      <c r="D10" s="37">
        <f>IF( ISERROR(IND_voed_gas_kWh/1000),0,IND_voed_gas_kWh/1000)*0.902</f>
        <v>712.9642969842788</v>
      </c>
      <c r="E10" s="33">
        <f>C32*'E Balans VL '!I20/100/3.6*1000000</f>
        <v>61.648221876000676</v>
      </c>
      <c r="F10" s="33">
        <f>C32*'E Balans VL '!L20/100/3.6*1000000+C32*'E Balans VL '!N20/100/3.6*1000000</f>
        <v>1127.0292147087575</v>
      </c>
      <c r="G10" s="34"/>
      <c r="H10" s="33"/>
      <c r="I10" s="33"/>
      <c r="J10" s="40">
        <f>C32*'E Balans VL '!D20/100/3.6*1000000+C32*'E Balans VL '!E20/100/3.6*1000000</f>
        <v>9.9988741135510623E-3</v>
      </c>
      <c r="K10" s="33"/>
      <c r="L10" s="33"/>
      <c r="M10" s="33"/>
      <c r="N10" s="33">
        <f>C32*'E Balans VL '!Y20/100/3.6*1000000</f>
        <v>222.03975150717633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244.765267740143</v>
      </c>
      <c r="C12" s="33"/>
      <c r="D12" s="37">
        <f>IF( ISERROR(IND_min_gas_kWh/1000),0,IND_min_gas_kWh/1000)*0.902</f>
        <v>0</v>
      </c>
      <c r="E12" s="33">
        <f>C34*'E Balans VL '!I22/100/3.6*1000000</f>
        <v>1.9066681036139823</v>
      </c>
      <c r="F12" s="33">
        <f>C34*'E Balans VL '!L22/100/3.6*1000000+C34*'E Balans VL '!N22/100/3.6*1000000</f>
        <v>92.310417706484685</v>
      </c>
      <c r="G12" s="34"/>
      <c r="H12" s="33"/>
      <c r="I12" s="33"/>
      <c r="J12" s="40">
        <f>C34*'E Balans VL '!D22/100/3.6*1000000+C34*'E Balans VL '!E22/100/3.6*1000000</f>
        <v>1.3461875720268932</v>
      </c>
      <c r="K12" s="33"/>
      <c r="L12" s="33"/>
      <c r="M12" s="33"/>
      <c r="N12" s="33">
        <f>C34*'E Balans VL '!Y22/100/3.6*1000000</f>
        <v>0</v>
      </c>
      <c r="O12" s="33"/>
      <c r="P12" s="33"/>
      <c r="R12" s="32"/>
    </row>
    <row r="13" spans="1:18">
      <c r="A13" s="6" t="s">
        <v>39</v>
      </c>
      <c r="B13" s="37">
        <f t="shared" si="0"/>
        <v>101.04308180653901</v>
      </c>
      <c r="C13" s="33"/>
      <c r="D13" s="37">
        <f>IF( ISERROR(IND_papier_gas_kWh/1000),0,IND_papier_gas_kWh/1000)*0.902</f>
        <v>213.89610400134728</v>
      </c>
      <c r="E13" s="33">
        <f>C35*'E Balans VL '!I23/100/3.6*1000000</f>
        <v>1.0586103599536181</v>
      </c>
      <c r="F13" s="33">
        <f>C35*'E Balans VL '!L23/100/3.6*1000000+C35*'E Balans VL '!N23/100/3.6*1000000</f>
        <v>7.5398526738893539</v>
      </c>
      <c r="G13" s="34"/>
      <c r="H13" s="33"/>
      <c r="I13" s="33"/>
      <c r="J13" s="40">
        <f>C35*'E Balans VL '!D23/100/3.6*1000000+C35*'E Balans VL '!E23/100/3.6*1000000</f>
        <v>0</v>
      </c>
      <c r="K13" s="33"/>
      <c r="L13" s="33"/>
      <c r="M13" s="33"/>
      <c r="N13" s="33">
        <f>C35*'E Balans VL '!Y23/100/3.6*1000000</f>
        <v>215.96904080504424</v>
      </c>
      <c r="O13" s="33"/>
      <c r="P13" s="33"/>
      <c r="R13" s="32"/>
    </row>
    <row r="14" spans="1:18">
      <c r="A14" s="6" t="s">
        <v>34</v>
      </c>
      <c r="B14" s="37">
        <f t="shared" si="0"/>
        <v>71112.844490623989</v>
      </c>
      <c r="C14" s="33"/>
      <c r="D14" s="37">
        <f>IF( ISERROR(IND_chemie_gas_kWh/1000),0,IND_chemie_gas_kWh/1000)*0.902</f>
        <v>79029.376625515288</v>
      </c>
      <c r="E14" s="33">
        <f>C36*'E Balans VL '!I24/100/3.6*1000000</f>
        <v>336.16711535269735</v>
      </c>
      <c r="F14" s="33">
        <f>C36*'E Balans VL '!L24/100/3.6*1000000+C36*'E Balans VL '!N24/100/3.6*1000000</f>
        <v>1343.9945902674074</v>
      </c>
      <c r="G14" s="34"/>
      <c r="H14" s="33"/>
      <c r="I14" s="33"/>
      <c r="J14" s="40">
        <f>C36*'E Balans VL '!D24/100/3.6*1000000+C36*'E Balans VL '!E24/100/3.6*1000000</f>
        <v>0</v>
      </c>
      <c r="K14" s="33"/>
      <c r="L14" s="33"/>
      <c r="M14" s="33"/>
      <c r="N14" s="33">
        <f>C36*'E Balans VL '!Y24/100/3.6*1000000</f>
        <v>1726.3792872638553</v>
      </c>
      <c r="O14" s="33"/>
      <c r="P14" s="33"/>
      <c r="R14" s="32"/>
    </row>
    <row r="15" spans="1:18">
      <c r="A15" s="6" t="s">
        <v>270</v>
      </c>
      <c r="B15" s="37">
        <f t="shared" si="0"/>
        <v>31046.677942298</v>
      </c>
      <c r="C15" s="33"/>
      <c r="D15" s="37">
        <f>IF( ISERROR(IND_rest_gas_kWh/1000),0,IND_rest_gas_kWh/1000)*0.902</f>
        <v>38377.739693365431</v>
      </c>
      <c r="E15" s="33">
        <f>C37*'E Balans VL '!I15/100/3.6*1000000</f>
        <v>1732.0371946739301</v>
      </c>
      <c r="F15" s="33">
        <f>C37*'E Balans VL '!L15/100/3.6*1000000+C37*'E Balans VL '!N15/100/3.6*1000000</f>
        <v>7298.441346119228</v>
      </c>
      <c r="G15" s="34"/>
      <c r="H15" s="33"/>
      <c r="I15" s="33"/>
      <c r="J15" s="40">
        <f>C37*'E Balans VL '!D15/100/3.6*1000000+C37*'E Balans VL '!E15/100/3.6*1000000</f>
        <v>79.574587974591068</v>
      </c>
      <c r="K15" s="33"/>
      <c r="L15" s="33"/>
      <c r="M15" s="33"/>
      <c r="N15" s="33">
        <f>C37*'E Balans VL '!Y15/100/3.6*1000000</f>
        <v>6093.0076340607411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109757.1772272653</v>
      </c>
      <c r="C18" s="21">
        <f>C5+C16</f>
        <v>0</v>
      </c>
      <c r="D18" s="21">
        <f>MAX((D5+D16),0)</f>
        <v>127795.92440646503</v>
      </c>
      <c r="E18" s="21">
        <f>MAX((E5+E16),0)</f>
        <v>3466.7188583255911</v>
      </c>
      <c r="F18" s="21">
        <f>MAX((F5+F16),0)</f>
        <v>13477.818070955438</v>
      </c>
      <c r="G18" s="21"/>
      <c r="H18" s="21"/>
      <c r="I18" s="21"/>
      <c r="J18" s="21">
        <f>MAX((J5+J16),0)</f>
        <v>80.93077442073151</v>
      </c>
      <c r="K18" s="21"/>
      <c r="L18" s="21">
        <f>MAX((L5+L16),0)</f>
        <v>0</v>
      </c>
      <c r="M18" s="21"/>
      <c r="N18" s="21">
        <f>MAX((N5+N16),0)</f>
        <v>9853.1758549919941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0.19378423860148744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21269.211020034123</v>
      </c>
      <c r="C22" s="23">
        <f ca="1">C18*C20</f>
        <v>0</v>
      </c>
      <c r="D22" s="23">
        <f>D18*D20</f>
        <v>25814.776730105936</v>
      </c>
      <c r="E22" s="23">
        <f>E18*E20</f>
        <v>786.9451808399092</v>
      </c>
      <c r="F22" s="23">
        <f>F18*F20</f>
        <v>3598.5774249451024</v>
      </c>
      <c r="G22" s="23"/>
      <c r="H22" s="23"/>
      <c r="I22" s="23"/>
      <c r="J22" s="23">
        <f>J18*J20</f>
        <v>28.649494144938952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1754.1007960045802</v>
      </c>
      <c r="C30" s="39">
        <f>IF(ISERROR(B30*3.6/1000000/'E Balans VL '!Z18*100),0,B30*3.6/1000000/'E Balans VL '!Z18*100)</f>
        <v>0.17259904058451025</v>
      </c>
      <c r="D30" s="239" t="s">
        <v>692</v>
      </c>
    </row>
    <row r="31" spans="1:18">
      <c r="A31" s="6" t="s">
        <v>33</v>
      </c>
      <c r="B31" s="37">
        <f>IF( ISERROR(IND_ander_ele_kWh/1000),0,IND_ander_ele_kWh/1000)</f>
        <v>4741.9035034529397</v>
      </c>
      <c r="C31" s="39">
        <f>IF(ISERROR(B31*3.6/1000000/'E Balans VL '!Z19*100),0,B31*3.6/1000000/'E Balans VL '!Z19*100)</f>
        <v>0.20650611499621169</v>
      </c>
      <c r="D31" s="239" t="s">
        <v>692</v>
      </c>
    </row>
    <row r="32" spans="1:18">
      <c r="A32" s="173" t="s">
        <v>41</v>
      </c>
      <c r="B32" s="37">
        <f>IF( ISERROR(IND_voed_ele_kWh/1000),0,IND_voed_ele_kWh/1000)</f>
        <v>755.84214533911097</v>
      </c>
      <c r="C32" s="39">
        <f>IF(ISERROR(B32*3.6/1000000/'E Balans VL '!Z20*100),0,B32*3.6/1000000/'E Balans VL '!Z20*100)</f>
        <v>0.14341014664853546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244.765267740143</v>
      </c>
      <c r="C34" s="39">
        <f>IF(ISERROR(B34*3.6/1000000/'E Balans VL '!Z22*100),0,B34*3.6/1000000/'E Balans VL '!Z22*100)</f>
        <v>3.4416454500472274E-2</v>
      </c>
      <c r="D34" s="239" t="s">
        <v>692</v>
      </c>
    </row>
    <row r="35" spans="1:5">
      <c r="A35" s="173" t="s">
        <v>39</v>
      </c>
      <c r="B35" s="37">
        <f>IF( ISERROR(IND_papier_ele_kWh/1000),0,IND_papier_ele_kWh/1000)</f>
        <v>101.04308180653901</v>
      </c>
      <c r="C35" s="39">
        <f>IF(ISERROR(B35*3.6/1000000/'E Balans VL '!Z22*100),0,B35*3.6/1000000/'E Balans VL '!Z22*100)</f>
        <v>1.4207671945000838E-2</v>
      </c>
      <c r="D35" s="239" t="s">
        <v>692</v>
      </c>
    </row>
    <row r="36" spans="1:5">
      <c r="A36" s="173" t="s">
        <v>34</v>
      </c>
      <c r="B36" s="37">
        <f>IF( ISERROR(IND_chemie_ele_kWh/1000),0,IND_chemie_ele_kWh/1000)</f>
        <v>71112.844490623989</v>
      </c>
      <c r="C36" s="39">
        <f>IF(ISERROR(B36*3.6/1000000/'E Balans VL '!Z24*100),0,B36*3.6/1000000/'E Balans VL '!Z24*100)</f>
        <v>2.0724384228185309</v>
      </c>
      <c r="D36" s="239" t="s">
        <v>692</v>
      </c>
    </row>
    <row r="37" spans="1:5">
      <c r="A37" s="173" t="s">
        <v>270</v>
      </c>
      <c r="B37" s="37">
        <f>IF( ISERROR(IND_rest_ele_kWh/1000),0,IND_rest_ele_kWh/1000)</f>
        <v>31046.677942298</v>
      </c>
      <c r="C37" s="39">
        <f>IF(ISERROR(B37*3.6/1000000/'E Balans VL '!Z15*100),0,B37*3.6/1000000/'E Balans VL '!Z15*100)</f>
        <v>0.23925278672625636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3889.8861256182831</v>
      </c>
      <c r="C5" s="17">
        <f>'Eigen informatie GS &amp; warmtenet'!B60</f>
        <v>0</v>
      </c>
      <c r="D5" s="30">
        <f>IF(ISERROR(SUM(LB_lb_gas_kWh,LB_rest_gas_kWh)/1000),0,SUM(LB_lb_gas_kWh,LB_rest_gas_kWh)/1000)*0.902</f>
        <v>483.97980152622881</v>
      </c>
      <c r="E5" s="17">
        <f>B17*'E Balans VL '!I25/3.6*1000000/100</f>
        <v>49.017576374998654</v>
      </c>
      <c r="F5" s="17">
        <f>B17*('E Balans VL '!L25/3.6*1000000+'E Balans VL '!N25/3.6*1000000)/100</f>
        <v>13421.081608084794</v>
      </c>
      <c r="G5" s="18"/>
      <c r="H5" s="17"/>
      <c r="I5" s="17"/>
      <c r="J5" s="17">
        <f>('E Balans VL '!D25+'E Balans VL '!E25)/3.6*1000000*landbouw!B17/100</f>
        <v>584.99465462813566</v>
      </c>
      <c r="K5" s="17"/>
      <c r="L5" s="17">
        <f>L6*(-1)</f>
        <v>0</v>
      </c>
      <c r="M5" s="17"/>
      <c r="N5" s="17">
        <f>N6*(-1)</f>
        <v>38288.571428571435</v>
      </c>
      <c r="O5" s="17"/>
      <c r="P5" s="17"/>
      <c r="R5" s="32"/>
    </row>
    <row r="6" spans="1:18">
      <c r="A6" s="16" t="s">
        <v>497</v>
      </c>
      <c r="B6" s="17" t="s">
        <v>211</v>
      </c>
      <c r="C6" s="17">
        <f>'lokale energieproductie'!O92+'lokale energieproductie'!O61</f>
        <v>19144.285714285717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-38288.571428571435</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3889.8861256182831</v>
      </c>
      <c r="C8" s="21">
        <f>C5+C6</f>
        <v>19144.285714285717</v>
      </c>
      <c r="D8" s="21">
        <f>MAX((D5+D6),0)</f>
        <v>483.97980152622881</v>
      </c>
      <c r="E8" s="21">
        <f>MAX((E5+E6),0)</f>
        <v>49.017576374998654</v>
      </c>
      <c r="F8" s="21">
        <f>MAX((F5+F6),0)</f>
        <v>13421.081608084794</v>
      </c>
      <c r="G8" s="21"/>
      <c r="H8" s="21"/>
      <c r="I8" s="21"/>
      <c r="J8" s="21">
        <f>MAX((J5+J6),0)</f>
        <v>584.99465462813566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0.19378423860148744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753.79862109942894</v>
      </c>
      <c r="C12" s="23">
        <f ca="1">C8*C10</f>
        <v>0</v>
      </c>
      <c r="D12" s="23">
        <f>D8*D10</f>
        <v>97.76391990829822</v>
      </c>
      <c r="E12" s="23">
        <f>E8*E10</f>
        <v>11.126989837124695</v>
      </c>
      <c r="F12" s="23">
        <f>F8*F10</f>
        <v>3583.4287893586402</v>
      </c>
      <c r="G12" s="23"/>
      <c r="H12" s="23"/>
      <c r="I12" s="23"/>
      <c r="J12" s="23">
        <f>J8*J10</f>
        <v>207.08810773836001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0.54251651242966892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846.14571556080682</v>
      </c>
      <c r="C26" s="249">
        <f>B26*'GWP N2O_CH4'!B5</f>
        <v>17769.060026776944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285.27369860424596</v>
      </c>
      <c r="C27" s="249">
        <f>B27*'GWP N2O_CH4'!B5</f>
        <v>5990.7476706891648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18.685014370881866</v>
      </c>
      <c r="C28" s="249">
        <f>B28*'GWP N2O_CH4'!B4</f>
        <v>5792.3544549733788</v>
      </c>
      <c r="D28" s="50"/>
    </row>
    <row r="29" spans="1:4">
      <c r="A29" s="41" t="s">
        <v>277</v>
      </c>
      <c r="B29" s="249">
        <f>B34*'ha_N2O bodem landbouw'!B4</f>
        <v>31.504585159383524</v>
      </c>
      <c r="C29" s="249">
        <f>B29*'GWP N2O_CH4'!B4</f>
        <v>9766.4213994088932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7.866380111696946E-3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7.701041145128855E-5</v>
      </c>
      <c r="C5" s="448" t="s">
        <v>211</v>
      </c>
      <c r="D5" s="433">
        <f>SUM(D6:D11)</f>
        <v>1.2191317332909399E-4</v>
      </c>
      <c r="E5" s="433">
        <f>SUM(E6:E11)</f>
        <v>3.928500037438238E-3</v>
      </c>
      <c r="F5" s="446" t="s">
        <v>211</v>
      </c>
      <c r="G5" s="433">
        <f>SUM(G6:G11)</f>
        <v>1.0648191381365584</v>
      </c>
      <c r="H5" s="433">
        <f>SUM(H6:H11)</f>
        <v>0.18445939557954752</v>
      </c>
      <c r="I5" s="448" t="s">
        <v>211</v>
      </c>
      <c r="J5" s="448" t="s">
        <v>211</v>
      </c>
      <c r="K5" s="448" t="s">
        <v>211</v>
      </c>
      <c r="L5" s="448" t="s">
        <v>211</v>
      </c>
      <c r="M5" s="433">
        <f>SUM(M6:M11)</f>
        <v>5.6471434142310949E-2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5.1760644635624692E-5</v>
      </c>
      <c r="C6" s="887"/>
      <c r="D6" s="887">
        <f>vkm_2011_GW_PW*SUMIFS(TableVerdeelsleutelVkm[CNG],TableVerdeelsleutelVkm[Voertuigtype],"Lichte voertuigen")*SUMIFS(TableECFTransport[EnergieConsumptieFactor (PJ per km)],TableECFTransport[Index],CONCATENATE($A6,"_CNG_CNG"))</f>
        <v>7.330319618272653E-5</v>
      </c>
      <c r="E6" s="887">
        <f>vkm_2011_GW_PW*SUMIFS(TableVerdeelsleutelVkm[LPG],TableVerdeelsleutelVkm[Voertuigtype],"Lichte voertuigen")*SUMIFS(TableECFTransport[EnergieConsumptieFactor (PJ per km)],TableECFTransport[Index],CONCATENATE($A6,"_LPG_LPG"))</f>
        <v>2.3022120716066959E-3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0.41377054852899819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0.11087314792548197</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2.3736557208302179E-2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0.21686795641381143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7.7050936695230484E-5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9.7865645332129766E-3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1.0795080081613835E-5</v>
      </c>
      <c r="C8" s="887"/>
      <c r="D8" s="436">
        <f>vkm_2011_NGW_PW*SUMIFS(TableVerdeelsleutelVkm[CNG],TableVerdeelsleutelVkm[Voertuigtype],"Lichte voertuigen")*SUMIFS(TableECFTransport[EnergieConsumptieFactor (PJ per km)],TableECFTransport[Index],CONCATENATE($A8,"_CNG_CNG"))</f>
        <v>2.7235734166667479E-5</v>
      </c>
      <c r="E8" s="436">
        <f>vkm_2011_NGW_PW*SUMIFS(TableVerdeelsleutelVkm[LPG],TableVerdeelsleutelVkm[Voertuigtype],"Lichte voertuigen")*SUMIFS(TableECFTransport[EnergieConsumptieFactor (PJ per km)],TableECFTransport[Index],CONCATENATE($A8,"_LPG_LPG"))</f>
        <v>7.8786855018005435E-4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0.13355135921416908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3.9748944009181462E-2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7.8426206097912832E-3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1.0674000032262328E-2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3.5886775445124565E-6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4.8167452445875829E-4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1.4454686734050023E-5</v>
      </c>
      <c r="C10" s="887"/>
      <c r="D10" s="436">
        <f>vkm_2011_SW_PW*SUMIFS(TableVerdeelsleutelVkm[CNG],TableVerdeelsleutelVkm[Voertuigtype],"Lichte voertuigen")*SUMIFS(TableECFTransport[EnergieConsumptieFactor (PJ per km)],TableECFTransport[Index],CONCATENATE($A10,"_CNG_CNG"))</f>
        <v>2.1374242979699992E-5</v>
      </c>
      <c r="E10" s="436">
        <f>vkm_2011_SW_PW*SUMIFS(TableVerdeelsleutelVkm[LPG],TableVerdeelsleutelVkm[Voertuigtype],"Lichte voertuigen")*SUMIFS(TableECFTransport[EnergieConsumptieFactor (PJ per km)],TableECFTransport[Index],CONCATENATE($A10,"_LPG_LPG"))</f>
        <v>8.384194156514877E-4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0.13647003284783119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3.3697857090492223E-2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7.6975185423891895E-3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0.15348524109948608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5.8806940152122513E-5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6.9264987241565617E-3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21.391780958691268</v>
      </c>
      <c r="C14" s="21"/>
      <c r="D14" s="21">
        <f t="shared" ref="D14:M14" si="0">((D5)*10^9/3600)+D12</f>
        <v>33.864770369192776</v>
      </c>
      <c r="E14" s="21">
        <f t="shared" si="0"/>
        <v>1091.2500103995105</v>
      </c>
      <c r="F14" s="21"/>
      <c r="G14" s="21">
        <f t="shared" si="0"/>
        <v>295783.09392682178</v>
      </c>
      <c r="H14" s="21">
        <f t="shared" si="0"/>
        <v>51238.720994318755</v>
      </c>
      <c r="I14" s="21"/>
      <c r="J14" s="21"/>
      <c r="K14" s="21"/>
      <c r="L14" s="21"/>
      <c r="M14" s="21">
        <f t="shared" si="0"/>
        <v>15686.509483975264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0.19378423860148744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4.1453899854097847</v>
      </c>
      <c r="C18" s="23"/>
      <c r="D18" s="23">
        <f t="shared" ref="D18:M18" si="1">D14*D16</f>
        <v>6.8406836145769407</v>
      </c>
      <c r="E18" s="23">
        <f t="shared" si="1"/>
        <v>247.71375236068889</v>
      </c>
      <c r="F18" s="23"/>
      <c r="G18" s="23">
        <f t="shared" si="1"/>
        <v>78974.08607846142</v>
      </c>
      <c r="H18" s="23">
        <f t="shared" si="1"/>
        <v>12758.44152758537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1.3145813805997336E-2</v>
      </c>
      <c r="H50" s="323">
        <f t="shared" si="2"/>
        <v>0</v>
      </c>
      <c r="I50" s="323">
        <f t="shared" si="2"/>
        <v>0</v>
      </c>
      <c r="J50" s="323">
        <f t="shared" si="2"/>
        <v>0</v>
      </c>
      <c r="K50" s="323">
        <f t="shared" si="2"/>
        <v>0</v>
      </c>
      <c r="L50" s="323">
        <f t="shared" si="2"/>
        <v>0</v>
      </c>
      <c r="M50" s="323">
        <f t="shared" si="2"/>
        <v>5.846264935139968E-4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1.3145813805997336E-2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5.846264935139968E-4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3651.614946110371</v>
      </c>
      <c r="H54" s="21">
        <f t="shared" si="3"/>
        <v>0</v>
      </c>
      <c r="I54" s="21">
        <f t="shared" si="3"/>
        <v>0</v>
      </c>
      <c r="J54" s="21">
        <f t="shared" si="3"/>
        <v>0</v>
      </c>
      <c r="K54" s="21">
        <f t="shared" si="3"/>
        <v>0</v>
      </c>
      <c r="L54" s="21">
        <f t="shared" si="3"/>
        <v>0</v>
      </c>
      <c r="M54" s="21">
        <f t="shared" si="3"/>
        <v>162.39624819833244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0.19378423860148744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974.98119061146906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89378.215100521818</v>
      </c>
      <c r="D10" s="690">
        <f ca="1">tertiair!C16</f>
        <v>0</v>
      </c>
      <c r="E10" s="690">
        <f ca="1">tertiair!D16</f>
        <v>94512.789261156344</v>
      </c>
      <c r="F10" s="690">
        <f>tertiair!E16</f>
        <v>904.71499320245198</v>
      </c>
      <c r="G10" s="690">
        <f ca="1">tertiair!F16</f>
        <v>18094.508139423946</v>
      </c>
      <c r="H10" s="690">
        <f>tertiair!G16</f>
        <v>0</v>
      </c>
      <c r="I10" s="690">
        <f>tertiair!H16</f>
        <v>0</v>
      </c>
      <c r="J10" s="690">
        <f>tertiair!I16</f>
        <v>0</v>
      </c>
      <c r="K10" s="690">
        <f>tertiair!J16</f>
        <v>0</v>
      </c>
      <c r="L10" s="690">
        <f>tertiair!K16</f>
        <v>0</v>
      </c>
      <c r="M10" s="690">
        <f ca="1">tertiair!L16</f>
        <v>0</v>
      </c>
      <c r="N10" s="690">
        <f>tertiair!M16</f>
        <v>0</v>
      </c>
      <c r="O10" s="690">
        <f ca="1">tertiair!N16</f>
        <v>12535.089609185048</v>
      </c>
      <c r="P10" s="690">
        <f>tertiair!O16</f>
        <v>3.1266666666666669</v>
      </c>
      <c r="Q10" s="691">
        <f>tertiair!P16</f>
        <v>114.4</v>
      </c>
      <c r="R10" s="693">
        <f ca="1">SUM(C10:Q10)</f>
        <v>215542.84377015627</v>
      </c>
      <c r="S10" s="67"/>
    </row>
    <row r="11" spans="1:19" s="458" customFormat="1">
      <c r="A11" s="805" t="s">
        <v>225</v>
      </c>
      <c r="B11" s="810"/>
      <c r="C11" s="690">
        <f>huishoudens!B8</f>
        <v>66895.397642722703</v>
      </c>
      <c r="D11" s="690">
        <f>huishoudens!C8</f>
        <v>0</v>
      </c>
      <c r="E11" s="690">
        <f>huishoudens!D8</f>
        <v>169709.29277392823</v>
      </c>
      <c r="F11" s="690">
        <f>huishoudens!E8</f>
        <v>12526.993691044139</v>
      </c>
      <c r="G11" s="690">
        <f>huishoudens!F8</f>
        <v>50272.84476066121</v>
      </c>
      <c r="H11" s="690">
        <f>huishoudens!G8</f>
        <v>0</v>
      </c>
      <c r="I11" s="690">
        <f>huishoudens!H8</f>
        <v>0</v>
      </c>
      <c r="J11" s="690">
        <f>huishoudens!I8</f>
        <v>0</v>
      </c>
      <c r="K11" s="690">
        <f>huishoudens!J8</f>
        <v>0</v>
      </c>
      <c r="L11" s="690">
        <f>huishoudens!K8</f>
        <v>0</v>
      </c>
      <c r="M11" s="690">
        <f>huishoudens!L8</f>
        <v>0</v>
      </c>
      <c r="N11" s="690">
        <f>huishoudens!M8</f>
        <v>0</v>
      </c>
      <c r="O11" s="690">
        <f>huishoudens!N8</f>
        <v>53074.385451068796</v>
      </c>
      <c r="P11" s="690">
        <f>huishoudens!O8</f>
        <v>506.52</v>
      </c>
      <c r="Q11" s="691">
        <f>huishoudens!P8</f>
        <v>1906.6666666666665</v>
      </c>
      <c r="R11" s="693">
        <f>SUM(C11:Q11)</f>
        <v>354892.10098609177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109757.1772272653</v>
      </c>
      <c r="D13" s="690">
        <f>industrie!C18</f>
        <v>0</v>
      </c>
      <c r="E13" s="690">
        <f>industrie!D18</f>
        <v>127795.92440646503</v>
      </c>
      <c r="F13" s="690">
        <f>industrie!E18</f>
        <v>3466.7188583255911</v>
      </c>
      <c r="G13" s="690">
        <f>industrie!F18</f>
        <v>13477.818070955438</v>
      </c>
      <c r="H13" s="690">
        <f>industrie!G18</f>
        <v>0</v>
      </c>
      <c r="I13" s="690">
        <f>industrie!H18</f>
        <v>0</v>
      </c>
      <c r="J13" s="690">
        <f>industrie!I18</f>
        <v>0</v>
      </c>
      <c r="K13" s="690">
        <f>industrie!J18</f>
        <v>80.93077442073151</v>
      </c>
      <c r="L13" s="690">
        <f>industrie!K18</f>
        <v>0</v>
      </c>
      <c r="M13" s="690">
        <f>industrie!L18</f>
        <v>0</v>
      </c>
      <c r="N13" s="690">
        <f>industrie!M18</f>
        <v>0</v>
      </c>
      <c r="O13" s="690">
        <f>industrie!N18</f>
        <v>9853.1758549919941</v>
      </c>
      <c r="P13" s="690">
        <f>industrie!O18</f>
        <v>0</v>
      </c>
      <c r="Q13" s="691">
        <f>industrie!P18</f>
        <v>0</v>
      </c>
      <c r="R13" s="693">
        <f>SUM(C13:Q13)</f>
        <v>264431.7451924241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266030.78997050982</v>
      </c>
      <c r="D16" s="725">
        <f t="shared" ref="D16:R16" ca="1" si="0">SUM(D9:D15)</f>
        <v>0</v>
      </c>
      <c r="E16" s="725">
        <f t="shared" ca="1" si="0"/>
        <v>392018.00644154963</v>
      </c>
      <c r="F16" s="725">
        <f t="shared" si="0"/>
        <v>16898.427542572183</v>
      </c>
      <c r="G16" s="725">
        <f t="shared" ca="1" si="0"/>
        <v>81845.170971040599</v>
      </c>
      <c r="H16" s="725">
        <f t="shared" si="0"/>
        <v>0</v>
      </c>
      <c r="I16" s="725">
        <f t="shared" si="0"/>
        <v>0</v>
      </c>
      <c r="J16" s="725">
        <f t="shared" si="0"/>
        <v>0</v>
      </c>
      <c r="K16" s="725">
        <f t="shared" si="0"/>
        <v>80.93077442073151</v>
      </c>
      <c r="L16" s="725">
        <f t="shared" si="0"/>
        <v>0</v>
      </c>
      <c r="M16" s="725">
        <f t="shared" ca="1" si="0"/>
        <v>0</v>
      </c>
      <c r="N16" s="725">
        <f t="shared" si="0"/>
        <v>0</v>
      </c>
      <c r="O16" s="725">
        <f t="shared" ca="1" si="0"/>
        <v>75462.650915245831</v>
      </c>
      <c r="P16" s="725">
        <f t="shared" si="0"/>
        <v>509.64666666666665</v>
      </c>
      <c r="Q16" s="725">
        <f t="shared" si="0"/>
        <v>2021.0666666666666</v>
      </c>
      <c r="R16" s="725">
        <f t="shared" ca="1" si="0"/>
        <v>834866.6899486722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3651.614946110371</v>
      </c>
      <c r="I19" s="690">
        <f>transport!H54</f>
        <v>0</v>
      </c>
      <c r="J19" s="690">
        <f>transport!I54</f>
        <v>0</v>
      </c>
      <c r="K19" s="690">
        <f>transport!J54</f>
        <v>0</v>
      </c>
      <c r="L19" s="690">
        <f>transport!K54</f>
        <v>0</v>
      </c>
      <c r="M19" s="690">
        <f>transport!L54</f>
        <v>0</v>
      </c>
      <c r="N19" s="690">
        <f>transport!M54</f>
        <v>162.39624819833244</v>
      </c>
      <c r="O19" s="690">
        <f>transport!N54</f>
        <v>0</v>
      </c>
      <c r="P19" s="690">
        <f>transport!O54</f>
        <v>0</v>
      </c>
      <c r="Q19" s="691">
        <f>transport!P54</f>
        <v>0</v>
      </c>
      <c r="R19" s="693">
        <f>SUM(C19:Q19)</f>
        <v>3814.0111943087036</v>
      </c>
      <c r="S19" s="67"/>
    </row>
    <row r="20" spans="1:19" s="458" customFormat="1">
      <c r="A20" s="805" t="s">
        <v>307</v>
      </c>
      <c r="B20" s="810"/>
      <c r="C20" s="690">
        <f>transport!B14</f>
        <v>21.391780958691268</v>
      </c>
      <c r="D20" s="690">
        <f>transport!C14</f>
        <v>0</v>
      </c>
      <c r="E20" s="690">
        <f>transport!D14</f>
        <v>33.864770369192776</v>
      </c>
      <c r="F20" s="690">
        <f>transport!E14</f>
        <v>1091.2500103995105</v>
      </c>
      <c r="G20" s="690">
        <f>transport!F14</f>
        <v>0</v>
      </c>
      <c r="H20" s="690">
        <f>transport!G14</f>
        <v>295783.09392682178</v>
      </c>
      <c r="I20" s="690">
        <f>transport!H14</f>
        <v>51238.720994318755</v>
      </c>
      <c r="J20" s="690">
        <f>transport!I14</f>
        <v>0</v>
      </c>
      <c r="K20" s="690">
        <f>transport!J14</f>
        <v>0</v>
      </c>
      <c r="L20" s="690">
        <f>transport!K14</f>
        <v>0</v>
      </c>
      <c r="M20" s="690">
        <f>transport!L14</f>
        <v>0</v>
      </c>
      <c r="N20" s="690">
        <f>transport!M14</f>
        <v>15686.509483975264</v>
      </c>
      <c r="O20" s="690">
        <f>transport!N14</f>
        <v>0</v>
      </c>
      <c r="P20" s="690">
        <f>transport!O14</f>
        <v>0</v>
      </c>
      <c r="Q20" s="691">
        <f>transport!P14</f>
        <v>0</v>
      </c>
      <c r="R20" s="693">
        <f>SUM(C20:Q20)</f>
        <v>363854.83096684318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21.391780958691268</v>
      </c>
      <c r="D22" s="808">
        <f t="shared" ref="D22:R22" si="1">SUM(D18:D21)</f>
        <v>0</v>
      </c>
      <c r="E22" s="808">
        <f t="shared" si="1"/>
        <v>33.864770369192776</v>
      </c>
      <c r="F22" s="808">
        <f t="shared" si="1"/>
        <v>1091.2500103995105</v>
      </c>
      <c r="G22" s="808">
        <f t="shared" si="1"/>
        <v>0</v>
      </c>
      <c r="H22" s="808">
        <f t="shared" si="1"/>
        <v>299434.70887293213</v>
      </c>
      <c r="I22" s="808">
        <f t="shared" si="1"/>
        <v>51238.720994318755</v>
      </c>
      <c r="J22" s="808">
        <f t="shared" si="1"/>
        <v>0</v>
      </c>
      <c r="K22" s="808">
        <f t="shared" si="1"/>
        <v>0</v>
      </c>
      <c r="L22" s="808">
        <f t="shared" si="1"/>
        <v>0</v>
      </c>
      <c r="M22" s="808">
        <f t="shared" si="1"/>
        <v>0</v>
      </c>
      <c r="N22" s="808">
        <f t="shared" si="1"/>
        <v>15848.905732173596</v>
      </c>
      <c r="O22" s="808">
        <f t="shared" si="1"/>
        <v>0</v>
      </c>
      <c r="P22" s="808">
        <f t="shared" si="1"/>
        <v>0</v>
      </c>
      <c r="Q22" s="808">
        <f t="shared" si="1"/>
        <v>0</v>
      </c>
      <c r="R22" s="808">
        <f t="shared" si="1"/>
        <v>367668.84216115187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3889.8861256182831</v>
      </c>
      <c r="D24" s="690">
        <f>+landbouw!C8</f>
        <v>19144.285714285717</v>
      </c>
      <c r="E24" s="690">
        <f>+landbouw!D8</f>
        <v>483.97980152622881</v>
      </c>
      <c r="F24" s="690">
        <f>+landbouw!E8</f>
        <v>49.017576374998654</v>
      </c>
      <c r="G24" s="690">
        <f>+landbouw!F8</f>
        <v>13421.081608084794</v>
      </c>
      <c r="H24" s="690">
        <f>+landbouw!G8</f>
        <v>0</v>
      </c>
      <c r="I24" s="690">
        <f>+landbouw!H8</f>
        <v>0</v>
      </c>
      <c r="J24" s="690">
        <f>+landbouw!I8</f>
        <v>0</v>
      </c>
      <c r="K24" s="690">
        <f>+landbouw!J8</f>
        <v>584.99465462813566</v>
      </c>
      <c r="L24" s="690">
        <f>+landbouw!K8</f>
        <v>0</v>
      </c>
      <c r="M24" s="690">
        <f>+landbouw!L8</f>
        <v>0</v>
      </c>
      <c r="N24" s="690">
        <f>+landbouw!M8</f>
        <v>0</v>
      </c>
      <c r="O24" s="690">
        <f>+landbouw!N8</f>
        <v>0</v>
      </c>
      <c r="P24" s="690">
        <f>+landbouw!O8</f>
        <v>0</v>
      </c>
      <c r="Q24" s="691">
        <f>+landbouw!P8</f>
        <v>0</v>
      </c>
      <c r="R24" s="693">
        <f>SUM(C24:Q24)</f>
        <v>37573.245480518155</v>
      </c>
      <c r="S24" s="67"/>
    </row>
    <row r="25" spans="1:19" s="458" customFormat="1" ht="15" thickBot="1">
      <c r="A25" s="827" t="s">
        <v>872</v>
      </c>
      <c r="B25" s="1004"/>
      <c r="C25" s="1005">
        <f>IF(Onbekend_ele_kWh="---",0,Onbekend_ele_kWh)/1000+IF(REST_rest_ele_kWh="---",0,REST_rest_ele_kWh)/1000</f>
        <v>2933.12349661077</v>
      </c>
      <c r="D25" s="1005"/>
      <c r="E25" s="1005">
        <f>IF(onbekend_gas_kWh="---",0,onbekend_gas_kWh)/1000+IF(REST_rest_gas_kWh="---",0,REST_rest_gas_kWh)/1000</f>
        <v>8311.1143356270495</v>
      </c>
      <c r="F25" s="1005"/>
      <c r="G25" s="1005"/>
      <c r="H25" s="1005"/>
      <c r="I25" s="1005"/>
      <c r="J25" s="1005"/>
      <c r="K25" s="1005"/>
      <c r="L25" s="1005"/>
      <c r="M25" s="1005"/>
      <c r="N25" s="1005"/>
      <c r="O25" s="1005"/>
      <c r="P25" s="1005"/>
      <c r="Q25" s="1006"/>
      <c r="R25" s="693">
        <f>SUM(C25:Q25)</f>
        <v>11244.237832237819</v>
      </c>
      <c r="S25" s="67"/>
    </row>
    <row r="26" spans="1:19" s="458" customFormat="1" ht="15.75" thickBot="1">
      <c r="A26" s="698" t="s">
        <v>873</v>
      </c>
      <c r="B26" s="813"/>
      <c r="C26" s="808">
        <f>SUM(C24:C25)</f>
        <v>6823.0096222290531</v>
      </c>
      <c r="D26" s="808">
        <f t="shared" ref="D26:R26" si="2">SUM(D24:D25)</f>
        <v>19144.285714285717</v>
      </c>
      <c r="E26" s="808">
        <f t="shared" si="2"/>
        <v>8795.094137153279</v>
      </c>
      <c r="F26" s="808">
        <f t="shared" si="2"/>
        <v>49.017576374998654</v>
      </c>
      <c r="G26" s="808">
        <f t="shared" si="2"/>
        <v>13421.081608084794</v>
      </c>
      <c r="H26" s="808">
        <f t="shared" si="2"/>
        <v>0</v>
      </c>
      <c r="I26" s="808">
        <f t="shared" si="2"/>
        <v>0</v>
      </c>
      <c r="J26" s="808">
        <f t="shared" si="2"/>
        <v>0</v>
      </c>
      <c r="K26" s="808">
        <f t="shared" si="2"/>
        <v>584.99465462813566</v>
      </c>
      <c r="L26" s="808">
        <f t="shared" si="2"/>
        <v>0</v>
      </c>
      <c r="M26" s="808">
        <f t="shared" si="2"/>
        <v>0</v>
      </c>
      <c r="N26" s="808">
        <f t="shared" si="2"/>
        <v>0</v>
      </c>
      <c r="O26" s="808">
        <f t="shared" si="2"/>
        <v>0</v>
      </c>
      <c r="P26" s="808">
        <f t="shared" si="2"/>
        <v>0</v>
      </c>
      <c r="Q26" s="808">
        <f t="shared" si="2"/>
        <v>0</v>
      </c>
      <c r="R26" s="808">
        <f t="shared" si="2"/>
        <v>48817.483312755976</v>
      </c>
      <c r="S26" s="67"/>
    </row>
    <row r="27" spans="1:19" s="458" customFormat="1" ht="17.25" thickTop="1" thickBot="1">
      <c r="A27" s="699" t="s">
        <v>116</v>
      </c>
      <c r="B27" s="800"/>
      <c r="C27" s="700">
        <f ca="1">C22+C16+C26</f>
        <v>272875.19137369754</v>
      </c>
      <c r="D27" s="700">
        <f t="shared" ref="D27:R27" ca="1" si="3">D22+D16+D26</f>
        <v>19144.285714285717</v>
      </c>
      <c r="E27" s="700">
        <f t="shared" ca="1" si="3"/>
        <v>400846.96534907212</v>
      </c>
      <c r="F27" s="700">
        <f t="shared" si="3"/>
        <v>18038.695129346692</v>
      </c>
      <c r="G27" s="700">
        <f t="shared" ca="1" si="3"/>
        <v>95266.252579125401</v>
      </c>
      <c r="H27" s="700">
        <f t="shared" si="3"/>
        <v>299434.70887293213</v>
      </c>
      <c r="I27" s="700">
        <f t="shared" si="3"/>
        <v>51238.720994318755</v>
      </c>
      <c r="J27" s="700">
        <f t="shared" si="3"/>
        <v>0</v>
      </c>
      <c r="K27" s="700">
        <f t="shared" si="3"/>
        <v>665.92542904886716</v>
      </c>
      <c r="L27" s="700">
        <f t="shared" si="3"/>
        <v>0</v>
      </c>
      <c r="M27" s="700">
        <f t="shared" ca="1" si="3"/>
        <v>0</v>
      </c>
      <c r="N27" s="700">
        <f t="shared" si="3"/>
        <v>15848.905732173596</v>
      </c>
      <c r="O27" s="700">
        <f t="shared" ca="1" si="3"/>
        <v>75462.650915245831</v>
      </c>
      <c r="P27" s="700">
        <f t="shared" si="3"/>
        <v>509.64666666666665</v>
      </c>
      <c r="Q27" s="700">
        <f t="shared" si="3"/>
        <v>2021.0666666666666</v>
      </c>
      <c r="R27" s="700">
        <f t="shared" ca="1" si="3"/>
        <v>1251353.0154225801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17320.089360814585</v>
      </c>
      <c r="D40" s="690">
        <f ca="1">tertiair!C20</f>
        <v>0</v>
      </c>
      <c r="E40" s="690">
        <f ca="1">tertiair!D20</f>
        <v>19091.583430753584</v>
      </c>
      <c r="F40" s="690">
        <f>tertiair!E20</f>
        <v>205.37030345695661</v>
      </c>
      <c r="G40" s="690">
        <f ca="1">tertiair!F20</f>
        <v>4831.2336732261938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41448.276768251322</v>
      </c>
    </row>
    <row r="41" spans="1:18">
      <c r="A41" s="818" t="s">
        <v>225</v>
      </c>
      <c r="B41" s="825"/>
      <c r="C41" s="690">
        <f ca="1">huishoudens!B12</f>
        <v>12963.273698138757</v>
      </c>
      <c r="D41" s="690">
        <f ca="1">huishoudens!C12</f>
        <v>0</v>
      </c>
      <c r="E41" s="690">
        <f>huishoudens!D12</f>
        <v>34281.277140333506</v>
      </c>
      <c r="F41" s="690">
        <f>huishoudens!E12</f>
        <v>2843.6275678670195</v>
      </c>
      <c r="G41" s="690">
        <f>huishoudens!F12</f>
        <v>13422.849551096544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63511.027957435828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21269.211020034123</v>
      </c>
      <c r="D43" s="690">
        <f ca="1">industrie!C22</f>
        <v>0</v>
      </c>
      <c r="E43" s="690">
        <f>industrie!D22</f>
        <v>25814.776730105936</v>
      </c>
      <c r="F43" s="690">
        <f>industrie!E22</f>
        <v>786.9451808399092</v>
      </c>
      <c r="G43" s="690">
        <f>industrie!F22</f>
        <v>3598.5774249451024</v>
      </c>
      <c r="H43" s="690">
        <f>industrie!G22</f>
        <v>0</v>
      </c>
      <c r="I43" s="690">
        <f>industrie!H22</f>
        <v>0</v>
      </c>
      <c r="J43" s="690">
        <f>industrie!I22</f>
        <v>0</v>
      </c>
      <c r="K43" s="690">
        <f>industrie!J22</f>
        <v>28.649494144938952</v>
      </c>
      <c r="L43" s="690">
        <f>industrie!K22</f>
        <v>0</v>
      </c>
      <c r="M43" s="690">
        <f>industrie!L22</f>
        <v>0</v>
      </c>
      <c r="N43" s="690">
        <f>industrie!M22</f>
        <v>0</v>
      </c>
      <c r="O43" s="690">
        <f>industrie!N22</f>
        <v>0</v>
      </c>
      <c r="P43" s="690">
        <f>industrie!O22</f>
        <v>0</v>
      </c>
      <c r="Q43" s="767">
        <f>industrie!P22</f>
        <v>0</v>
      </c>
      <c r="R43" s="845">
        <f t="shared" ca="1" si="4"/>
        <v>51498.159850070013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51552.574078987469</v>
      </c>
      <c r="D46" s="725">
        <f t="shared" ref="D46:Q46" ca="1" si="5">SUM(D39:D45)</f>
        <v>0</v>
      </c>
      <c r="E46" s="725">
        <f t="shared" ca="1" si="5"/>
        <v>79187.637301193026</v>
      </c>
      <c r="F46" s="725">
        <f t="shared" si="5"/>
        <v>3835.9430521638851</v>
      </c>
      <c r="G46" s="725">
        <f t="shared" ca="1" si="5"/>
        <v>21852.66064926784</v>
      </c>
      <c r="H46" s="725">
        <f t="shared" si="5"/>
        <v>0</v>
      </c>
      <c r="I46" s="725">
        <f t="shared" si="5"/>
        <v>0</v>
      </c>
      <c r="J46" s="725">
        <f t="shared" si="5"/>
        <v>0</v>
      </c>
      <c r="K46" s="725">
        <f t="shared" si="5"/>
        <v>28.649494144938952</v>
      </c>
      <c r="L46" s="725">
        <f t="shared" si="5"/>
        <v>0</v>
      </c>
      <c r="M46" s="725">
        <f t="shared" ca="1" si="5"/>
        <v>0</v>
      </c>
      <c r="N46" s="725">
        <f t="shared" si="5"/>
        <v>0</v>
      </c>
      <c r="O46" s="725">
        <f t="shared" ca="1" si="5"/>
        <v>0</v>
      </c>
      <c r="P46" s="725">
        <f t="shared" si="5"/>
        <v>0</v>
      </c>
      <c r="Q46" s="725">
        <f t="shared" si="5"/>
        <v>0</v>
      </c>
      <c r="R46" s="725">
        <f ca="1">SUM(R39:R45)</f>
        <v>156457.46457575716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974.98119061146906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974.98119061146906</v>
      </c>
    </row>
    <row r="50" spans="1:18">
      <c r="A50" s="821" t="s">
        <v>307</v>
      </c>
      <c r="B50" s="831"/>
      <c r="C50" s="696">
        <f ca="1">transport!B18</f>
        <v>4.1453899854097847</v>
      </c>
      <c r="D50" s="696">
        <f>transport!C18</f>
        <v>0</v>
      </c>
      <c r="E50" s="696">
        <f>transport!D18</f>
        <v>6.8406836145769407</v>
      </c>
      <c r="F50" s="696">
        <f>transport!E18</f>
        <v>247.71375236068889</v>
      </c>
      <c r="G50" s="696">
        <f>transport!F18</f>
        <v>0</v>
      </c>
      <c r="H50" s="696">
        <f>transport!G18</f>
        <v>78974.08607846142</v>
      </c>
      <c r="I50" s="696">
        <f>transport!H18</f>
        <v>12758.44152758537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91991.227432007465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4.1453899854097847</v>
      </c>
      <c r="D52" s="725">
        <f t="shared" ref="D52:Q52" ca="1" si="6">SUM(D48:D51)</f>
        <v>0</v>
      </c>
      <c r="E52" s="725">
        <f t="shared" si="6"/>
        <v>6.8406836145769407</v>
      </c>
      <c r="F52" s="725">
        <f t="shared" si="6"/>
        <v>247.71375236068889</v>
      </c>
      <c r="G52" s="725">
        <f t="shared" si="6"/>
        <v>0</v>
      </c>
      <c r="H52" s="725">
        <f t="shared" si="6"/>
        <v>79949.067269072882</v>
      </c>
      <c r="I52" s="725">
        <f t="shared" si="6"/>
        <v>12758.44152758537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92966.208622618928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753.79862109942894</v>
      </c>
      <c r="D54" s="696">
        <f ca="1">+landbouw!C12</f>
        <v>0</v>
      </c>
      <c r="E54" s="696">
        <f>+landbouw!D12</f>
        <v>97.76391990829822</v>
      </c>
      <c r="F54" s="696">
        <f>+landbouw!E12</f>
        <v>11.126989837124695</v>
      </c>
      <c r="G54" s="696">
        <f>+landbouw!F12</f>
        <v>3583.4287893586402</v>
      </c>
      <c r="H54" s="696">
        <f>+landbouw!G12</f>
        <v>0</v>
      </c>
      <c r="I54" s="696">
        <f>+landbouw!H12</f>
        <v>0</v>
      </c>
      <c r="J54" s="696">
        <f>+landbouw!I12</f>
        <v>0</v>
      </c>
      <c r="K54" s="696">
        <f>+landbouw!J12</f>
        <v>207.08810773836001</v>
      </c>
      <c r="L54" s="696">
        <f>+landbouw!K12</f>
        <v>0</v>
      </c>
      <c r="M54" s="696">
        <f>+landbouw!L12</f>
        <v>0</v>
      </c>
      <c r="N54" s="696">
        <f>+landbouw!M12</f>
        <v>0</v>
      </c>
      <c r="O54" s="696">
        <f>+landbouw!N12</f>
        <v>0</v>
      </c>
      <c r="P54" s="696">
        <f>+landbouw!O12</f>
        <v>0</v>
      </c>
      <c r="Q54" s="697">
        <f>+landbouw!P12</f>
        <v>0</v>
      </c>
      <c r="R54" s="724">
        <f ca="1">SUM(C54:Q54)</f>
        <v>4653.2064279418519</v>
      </c>
    </row>
    <row r="55" spans="1:18" ht="15" thickBot="1">
      <c r="A55" s="821" t="s">
        <v>872</v>
      </c>
      <c r="B55" s="831"/>
      <c r="C55" s="696">
        <f ca="1">C25*'EF ele_warmte'!B12</f>
        <v>568.39310351485062</v>
      </c>
      <c r="D55" s="696"/>
      <c r="E55" s="696">
        <f>E25*EF_CO2_aardgas</f>
        <v>1678.8450957966641</v>
      </c>
      <c r="F55" s="696"/>
      <c r="G55" s="696"/>
      <c r="H55" s="696"/>
      <c r="I55" s="696"/>
      <c r="J55" s="696"/>
      <c r="K55" s="696"/>
      <c r="L55" s="696"/>
      <c r="M55" s="696"/>
      <c r="N55" s="696"/>
      <c r="O55" s="696"/>
      <c r="P55" s="696"/>
      <c r="Q55" s="697"/>
      <c r="R55" s="724">
        <f ca="1">SUM(C55:Q55)</f>
        <v>2247.2381993115146</v>
      </c>
    </row>
    <row r="56" spans="1:18" ht="15.75" thickBot="1">
      <c r="A56" s="819" t="s">
        <v>873</v>
      </c>
      <c r="B56" s="832"/>
      <c r="C56" s="725">
        <f ca="1">SUM(C54:C55)</f>
        <v>1322.1917246142796</v>
      </c>
      <c r="D56" s="725">
        <f t="shared" ref="D56:Q56" ca="1" si="7">SUM(D54:D55)</f>
        <v>0</v>
      </c>
      <c r="E56" s="725">
        <f t="shared" si="7"/>
        <v>1776.6090157049623</v>
      </c>
      <c r="F56" s="725">
        <f t="shared" si="7"/>
        <v>11.126989837124695</v>
      </c>
      <c r="G56" s="725">
        <f t="shared" si="7"/>
        <v>3583.4287893586402</v>
      </c>
      <c r="H56" s="725">
        <f t="shared" si="7"/>
        <v>0</v>
      </c>
      <c r="I56" s="725">
        <f t="shared" si="7"/>
        <v>0</v>
      </c>
      <c r="J56" s="725">
        <f t="shared" si="7"/>
        <v>0</v>
      </c>
      <c r="K56" s="725">
        <f t="shared" si="7"/>
        <v>207.08810773836001</v>
      </c>
      <c r="L56" s="725">
        <f t="shared" si="7"/>
        <v>0</v>
      </c>
      <c r="M56" s="725">
        <f t="shared" si="7"/>
        <v>0</v>
      </c>
      <c r="N56" s="725">
        <f t="shared" si="7"/>
        <v>0</v>
      </c>
      <c r="O56" s="725">
        <f t="shared" si="7"/>
        <v>0</v>
      </c>
      <c r="P56" s="725">
        <f t="shared" si="7"/>
        <v>0</v>
      </c>
      <c r="Q56" s="726">
        <f t="shared" si="7"/>
        <v>0</v>
      </c>
      <c r="R56" s="727">
        <f ca="1">SUM(R54:R55)</f>
        <v>6900.444627253366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52878.911193587155</v>
      </c>
      <c r="D61" s="733">
        <f t="shared" ref="D61:Q61" ca="1" si="8">D46+D52+D56</f>
        <v>0</v>
      </c>
      <c r="E61" s="733">
        <f t="shared" ca="1" si="8"/>
        <v>80971.087000512562</v>
      </c>
      <c r="F61" s="733">
        <f t="shared" si="8"/>
        <v>4094.7837943616987</v>
      </c>
      <c r="G61" s="733">
        <f t="shared" ca="1" si="8"/>
        <v>25436.089438626481</v>
      </c>
      <c r="H61" s="733">
        <f t="shared" si="8"/>
        <v>79949.067269072882</v>
      </c>
      <c r="I61" s="733">
        <f t="shared" si="8"/>
        <v>12758.44152758537</v>
      </c>
      <c r="J61" s="733">
        <f t="shared" si="8"/>
        <v>0</v>
      </c>
      <c r="K61" s="733">
        <f t="shared" si="8"/>
        <v>235.73760188329896</v>
      </c>
      <c r="L61" s="733">
        <f t="shared" si="8"/>
        <v>0</v>
      </c>
      <c r="M61" s="733">
        <f t="shared" ca="1" si="8"/>
        <v>0</v>
      </c>
      <c r="N61" s="733">
        <f t="shared" si="8"/>
        <v>0</v>
      </c>
      <c r="O61" s="733">
        <f t="shared" ca="1" si="8"/>
        <v>0</v>
      </c>
      <c r="P61" s="733">
        <f t="shared" si="8"/>
        <v>0</v>
      </c>
      <c r="Q61" s="733">
        <f t="shared" si="8"/>
        <v>0</v>
      </c>
      <c r="R61" s="733">
        <f ca="1">R46+R52+R56</f>
        <v>256324.11782562945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0.19378423860148744</v>
      </c>
      <c r="D63" s="776">
        <f t="shared" ca="1" si="9"/>
        <v>0</v>
      </c>
      <c r="E63" s="1011">
        <f t="shared" ca="1" si="9"/>
        <v>0.20199999999999999</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20203.099999999999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13401.000000000002</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15765.88235294118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33604.1</v>
      </c>
      <c r="C78" s="748">
        <f>SUM(C72:C77)</f>
        <v>0</v>
      </c>
      <c r="D78" s="749">
        <f t="shared" ref="D78:H78" si="10">SUM(D76:D77)</f>
        <v>0</v>
      </c>
      <c r="E78" s="749">
        <f t="shared" si="10"/>
        <v>0</v>
      </c>
      <c r="F78" s="749">
        <f t="shared" si="10"/>
        <v>0</v>
      </c>
      <c r="G78" s="749">
        <f t="shared" si="10"/>
        <v>0</v>
      </c>
      <c r="H78" s="749">
        <f t="shared" si="10"/>
        <v>0</v>
      </c>
      <c r="I78" s="749">
        <f>SUM(I76:I77)</f>
        <v>0</v>
      </c>
      <c r="J78" s="749">
        <f>SUM(J76:J77)</f>
        <v>15765.88235294118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19144.285714285717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22522.689075630256</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19144.285714285717</v>
      </c>
      <c r="C90" s="748">
        <f>SUM(C87:C89)</f>
        <v>0</v>
      </c>
      <c r="D90" s="748">
        <f t="shared" ref="D90:H90" si="12">SUM(D87:D89)</f>
        <v>0</v>
      </c>
      <c r="E90" s="748">
        <f t="shared" si="12"/>
        <v>0</v>
      </c>
      <c r="F90" s="748">
        <f t="shared" si="12"/>
        <v>0</v>
      </c>
      <c r="G90" s="748">
        <f t="shared" si="12"/>
        <v>0</v>
      </c>
      <c r="H90" s="748">
        <f t="shared" si="12"/>
        <v>0</v>
      </c>
      <c r="I90" s="748">
        <f>SUM(I87:I89)</f>
        <v>0</v>
      </c>
      <c r="J90" s="748">
        <f>SUM(J87:J89)</f>
        <v>22522.689075630256</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20203.099999999999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13401.000000000002</v>
      </c>
      <c r="C8" s="560">
        <f>B101</f>
        <v>0</v>
      </c>
      <c r="D8" s="1028"/>
      <c r="E8" s="1028">
        <f>E101</f>
        <v>0</v>
      </c>
      <c r="F8" s="1029"/>
      <c r="G8" s="561"/>
      <c r="H8" s="1028">
        <f>I101</f>
        <v>0</v>
      </c>
      <c r="I8" s="1028">
        <f>G101+F101</f>
        <v>0</v>
      </c>
      <c r="J8" s="1028">
        <f>H101+D101+C101</f>
        <v>15765.88235294118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33604.1</v>
      </c>
      <c r="C10" s="573">
        <f t="shared" ref="C10:L10" si="0">SUM(C8:C9)</f>
        <v>0</v>
      </c>
      <c r="D10" s="573">
        <f t="shared" si="0"/>
        <v>0</v>
      </c>
      <c r="E10" s="573">
        <f t="shared" si="0"/>
        <v>0</v>
      </c>
      <c r="F10" s="573">
        <f t="shared" si="0"/>
        <v>0</v>
      </c>
      <c r="G10" s="573">
        <f t="shared" si="0"/>
        <v>0</v>
      </c>
      <c r="H10" s="573">
        <f t="shared" si="0"/>
        <v>0</v>
      </c>
      <c r="I10" s="573">
        <f t="shared" si="0"/>
        <v>0</v>
      </c>
      <c r="J10" s="573">
        <f t="shared" si="0"/>
        <v>15765.88235294118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19144.285714285717</v>
      </c>
      <c r="C17" s="585">
        <f>B102</f>
        <v>0</v>
      </c>
      <c r="D17" s="586"/>
      <c r="E17" s="586">
        <f>E102</f>
        <v>0</v>
      </c>
      <c r="F17" s="1034"/>
      <c r="G17" s="587"/>
      <c r="H17" s="585">
        <f>I102</f>
        <v>0</v>
      </c>
      <c r="I17" s="586">
        <f>G102+F102</f>
        <v>0</v>
      </c>
      <c r="J17" s="586">
        <f>H102+D102+C102</f>
        <v>22522.689075630256</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19144.285714285717</v>
      </c>
      <c r="C20" s="572">
        <f>SUM(C17:C19)</f>
        <v>0</v>
      </c>
      <c r="D20" s="572">
        <f t="shared" ref="D20:L20" si="1">SUM(D17:D19)</f>
        <v>0</v>
      </c>
      <c r="E20" s="572">
        <f t="shared" si="1"/>
        <v>0</v>
      </c>
      <c r="F20" s="572">
        <f t="shared" si="1"/>
        <v>0</v>
      </c>
      <c r="G20" s="572">
        <f t="shared" si="1"/>
        <v>0</v>
      </c>
      <c r="H20" s="572">
        <f t="shared" si="1"/>
        <v>0</v>
      </c>
      <c r="I20" s="572">
        <f t="shared" si="1"/>
        <v>0</v>
      </c>
      <c r="J20" s="572">
        <f t="shared" si="1"/>
        <v>22522.689075630256</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13008</v>
      </c>
      <c r="C28" s="791">
        <v>2440</v>
      </c>
      <c r="D28" s="644" t="s">
        <v>913</v>
      </c>
      <c r="E28" s="643" t="s">
        <v>914</v>
      </c>
      <c r="F28" s="643" t="s">
        <v>915</v>
      </c>
      <c r="G28" s="643" t="s">
        <v>916</v>
      </c>
      <c r="H28" s="643" t="s">
        <v>917</v>
      </c>
      <c r="I28" s="643" t="s">
        <v>914</v>
      </c>
      <c r="J28" s="790">
        <v>41249</v>
      </c>
      <c r="K28" s="790">
        <v>41249</v>
      </c>
      <c r="L28" s="643" t="s">
        <v>918</v>
      </c>
      <c r="M28" s="643">
        <v>2978</v>
      </c>
      <c r="N28" s="643">
        <v>13401.000000000002</v>
      </c>
      <c r="O28" s="643">
        <v>19144.285714285717</v>
      </c>
      <c r="P28" s="643">
        <v>0</v>
      </c>
      <c r="Q28" s="643">
        <v>38288.571428571435</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2978</v>
      </c>
      <c r="N58" s="601">
        <f>SUM(N28:N57)</f>
        <v>13401.000000000002</v>
      </c>
      <c r="O58" s="601">
        <f t="shared" ref="O58:W58" si="2">SUM(O28:O57)</f>
        <v>19144.285714285717</v>
      </c>
      <c r="P58" s="601">
        <f t="shared" si="2"/>
        <v>0</v>
      </c>
      <c r="Q58" s="601">
        <f t="shared" si="2"/>
        <v>38288.571428571435</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2978</v>
      </c>
      <c r="N61" s="606">
        <f t="shared" si="4"/>
        <v>13401.000000000002</v>
      </c>
      <c r="O61" s="606">
        <f t="shared" si="4"/>
        <v>19144.285714285717</v>
      </c>
      <c r="P61" s="606">
        <f t="shared" si="4"/>
        <v>0</v>
      </c>
      <c r="Q61" s="606">
        <f t="shared" si="4"/>
        <v>38288.571428571435</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15765.88235294118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22522.689075630256</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66895.397642722703</v>
      </c>
      <c r="C4" s="462">
        <f>huishoudens!C8</f>
        <v>0</v>
      </c>
      <c r="D4" s="462">
        <f>huishoudens!D8</f>
        <v>169709.29277392823</v>
      </c>
      <c r="E4" s="462">
        <f>huishoudens!E8</f>
        <v>12526.993691044139</v>
      </c>
      <c r="F4" s="462">
        <f>huishoudens!F8</f>
        <v>50272.84476066121</v>
      </c>
      <c r="G4" s="462">
        <f>huishoudens!G8</f>
        <v>0</v>
      </c>
      <c r="H4" s="462">
        <f>huishoudens!H8</f>
        <v>0</v>
      </c>
      <c r="I4" s="462">
        <f>huishoudens!I8</f>
        <v>0</v>
      </c>
      <c r="J4" s="462">
        <f>huishoudens!J8</f>
        <v>0</v>
      </c>
      <c r="K4" s="462">
        <f>huishoudens!K8</f>
        <v>0</v>
      </c>
      <c r="L4" s="462">
        <f>huishoudens!L8</f>
        <v>0</v>
      </c>
      <c r="M4" s="462">
        <f>huishoudens!M8</f>
        <v>0</v>
      </c>
      <c r="N4" s="462">
        <f>huishoudens!N8</f>
        <v>53074.385451068796</v>
      </c>
      <c r="O4" s="462">
        <f>huishoudens!O8</f>
        <v>506.52</v>
      </c>
      <c r="P4" s="463">
        <f>huishoudens!P8</f>
        <v>1906.6666666666665</v>
      </c>
      <c r="Q4" s="464">
        <f>SUM(B4:P4)</f>
        <v>354892.10098609177</v>
      </c>
    </row>
    <row r="5" spans="1:17">
      <c r="A5" s="461" t="s">
        <v>156</v>
      </c>
      <c r="B5" s="462">
        <f ca="1">tertiair!B16</f>
        <v>87680.289100521812</v>
      </c>
      <c r="C5" s="462">
        <f ca="1">tertiair!C16</f>
        <v>0</v>
      </c>
      <c r="D5" s="462">
        <f ca="1">tertiair!D16</f>
        <v>94512.789261156344</v>
      </c>
      <c r="E5" s="462">
        <f>tertiair!E16</f>
        <v>904.71499320245198</v>
      </c>
      <c r="F5" s="462">
        <f ca="1">tertiair!F16</f>
        <v>18094.508139423946</v>
      </c>
      <c r="G5" s="462">
        <f>tertiair!G16</f>
        <v>0</v>
      </c>
      <c r="H5" s="462">
        <f>tertiair!H16</f>
        <v>0</v>
      </c>
      <c r="I5" s="462">
        <f>tertiair!I16</f>
        <v>0</v>
      </c>
      <c r="J5" s="462">
        <f>tertiair!J16</f>
        <v>0</v>
      </c>
      <c r="K5" s="462">
        <f>tertiair!K16</f>
        <v>0</v>
      </c>
      <c r="L5" s="462">
        <f ca="1">tertiair!L16</f>
        <v>0</v>
      </c>
      <c r="M5" s="462">
        <f>tertiair!M16</f>
        <v>0</v>
      </c>
      <c r="N5" s="462">
        <f ca="1">tertiair!N16</f>
        <v>12535.089609185048</v>
      </c>
      <c r="O5" s="462">
        <f>tertiair!O16</f>
        <v>3.1266666666666669</v>
      </c>
      <c r="P5" s="463">
        <f>tertiair!P16</f>
        <v>114.4</v>
      </c>
      <c r="Q5" s="461">
        <f t="shared" ref="Q5:Q14" ca="1" si="0">SUM(B5:P5)</f>
        <v>213844.91777015629</v>
      </c>
    </row>
    <row r="6" spans="1:17">
      <c r="A6" s="461" t="s">
        <v>194</v>
      </c>
      <c r="B6" s="462">
        <f>'openbare verlichting'!B8</f>
        <v>1697.9259999999999</v>
      </c>
      <c r="C6" s="462"/>
      <c r="D6" s="462"/>
      <c r="E6" s="462"/>
      <c r="F6" s="462"/>
      <c r="G6" s="462"/>
      <c r="H6" s="462"/>
      <c r="I6" s="462"/>
      <c r="J6" s="462"/>
      <c r="K6" s="462"/>
      <c r="L6" s="462"/>
      <c r="M6" s="462"/>
      <c r="N6" s="462"/>
      <c r="O6" s="462"/>
      <c r="P6" s="463"/>
      <c r="Q6" s="461">
        <f t="shared" si="0"/>
        <v>1697.9259999999999</v>
      </c>
    </row>
    <row r="7" spans="1:17">
      <c r="A7" s="461" t="s">
        <v>112</v>
      </c>
      <c r="B7" s="462">
        <f>landbouw!B8</f>
        <v>3889.8861256182831</v>
      </c>
      <c r="C7" s="462">
        <f>landbouw!C8</f>
        <v>19144.285714285717</v>
      </c>
      <c r="D7" s="462">
        <f>landbouw!D8</f>
        <v>483.97980152622881</v>
      </c>
      <c r="E7" s="462">
        <f>landbouw!E8</f>
        <v>49.017576374998654</v>
      </c>
      <c r="F7" s="462">
        <f>landbouw!F8</f>
        <v>13421.081608084794</v>
      </c>
      <c r="G7" s="462">
        <f>landbouw!G8</f>
        <v>0</v>
      </c>
      <c r="H7" s="462">
        <f>landbouw!H8</f>
        <v>0</v>
      </c>
      <c r="I7" s="462">
        <f>landbouw!I8</f>
        <v>0</v>
      </c>
      <c r="J7" s="462">
        <f>landbouw!J8</f>
        <v>584.99465462813566</v>
      </c>
      <c r="K7" s="462">
        <f>landbouw!K8</f>
        <v>0</v>
      </c>
      <c r="L7" s="462">
        <f>landbouw!L8</f>
        <v>0</v>
      </c>
      <c r="M7" s="462">
        <f>landbouw!M8</f>
        <v>0</v>
      </c>
      <c r="N7" s="462">
        <f>landbouw!N8</f>
        <v>0</v>
      </c>
      <c r="O7" s="462">
        <f>landbouw!O8</f>
        <v>0</v>
      </c>
      <c r="P7" s="463">
        <f>landbouw!P8</f>
        <v>0</v>
      </c>
      <c r="Q7" s="461">
        <f t="shared" si="0"/>
        <v>37573.245480518155</v>
      </c>
    </row>
    <row r="8" spans="1:17">
      <c r="A8" s="461" t="s">
        <v>657</v>
      </c>
      <c r="B8" s="462">
        <f>industrie!B18</f>
        <v>109757.1772272653</v>
      </c>
      <c r="C8" s="462">
        <f>industrie!C18</f>
        <v>0</v>
      </c>
      <c r="D8" s="462">
        <f>industrie!D18</f>
        <v>127795.92440646503</v>
      </c>
      <c r="E8" s="462">
        <f>industrie!E18</f>
        <v>3466.7188583255911</v>
      </c>
      <c r="F8" s="462">
        <f>industrie!F18</f>
        <v>13477.818070955438</v>
      </c>
      <c r="G8" s="462">
        <f>industrie!G18</f>
        <v>0</v>
      </c>
      <c r="H8" s="462">
        <f>industrie!H18</f>
        <v>0</v>
      </c>
      <c r="I8" s="462">
        <f>industrie!I18</f>
        <v>0</v>
      </c>
      <c r="J8" s="462">
        <f>industrie!J18</f>
        <v>80.93077442073151</v>
      </c>
      <c r="K8" s="462">
        <f>industrie!K18</f>
        <v>0</v>
      </c>
      <c r="L8" s="462">
        <f>industrie!L18</f>
        <v>0</v>
      </c>
      <c r="M8" s="462">
        <f>industrie!M18</f>
        <v>0</v>
      </c>
      <c r="N8" s="462">
        <f>industrie!N18</f>
        <v>9853.1758549919941</v>
      </c>
      <c r="O8" s="462">
        <f>industrie!O18</f>
        <v>0</v>
      </c>
      <c r="P8" s="463">
        <f>industrie!P18</f>
        <v>0</v>
      </c>
      <c r="Q8" s="461">
        <f t="shared" si="0"/>
        <v>264431.7451924241</v>
      </c>
    </row>
    <row r="9" spans="1:17" s="467" customFormat="1">
      <c r="A9" s="465" t="s">
        <v>574</v>
      </c>
      <c r="B9" s="466">
        <f>transport!B14</f>
        <v>21.391780958691268</v>
      </c>
      <c r="C9" s="466">
        <f>transport!C14</f>
        <v>0</v>
      </c>
      <c r="D9" s="466">
        <f>transport!D14</f>
        <v>33.864770369192776</v>
      </c>
      <c r="E9" s="466">
        <f>transport!E14</f>
        <v>1091.2500103995105</v>
      </c>
      <c r="F9" s="466">
        <f>transport!F14</f>
        <v>0</v>
      </c>
      <c r="G9" s="466">
        <f>transport!G14</f>
        <v>295783.09392682178</v>
      </c>
      <c r="H9" s="466">
        <f>transport!H14</f>
        <v>51238.720994318755</v>
      </c>
      <c r="I9" s="466">
        <f>transport!I14</f>
        <v>0</v>
      </c>
      <c r="J9" s="466">
        <f>transport!J14</f>
        <v>0</v>
      </c>
      <c r="K9" s="466">
        <f>transport!K14</f>
        <v>0</v>
      </c>
      <c r="L9" s="466">
        <f>transport!L14</f>
        <v>0</v>
      </c>
      <c r="M9" s="466">
        <f>transport!M14</f>
        <v>15686.509483975264</v>
      </c>
      <c r="N9" s="466">
        <f>transport!N14</f>
        <v>0</v>
      </c>
      <c r="O9" s="466">
        <f>transport!O14</f>
        <v>0</v>
      </c>
      <c r="P9" s="466">
        <f>transport!P14</f>
        <v>0</v>
      </c>
      <c r="Q9" s="465">
        <f>SUM(B9:P9)</f>
        <v>363854.83096684318</v>
      </c>
    </row>
    <row r="10" spans="1:17">
      <c r="A10" s="461" t="s">
        <v>564</v>
      </c>
      <c r="B10" s="462">
        <f>transport!B54</f>
        <v>0</v>
      </c>
      <c r="C10" s="462">
        <f>transport!C54</f>
        <v>0</v>
      </c>
      <c r="D10" s="462">
        <f>transport!D54</f>
        <v>0</v>
      </c>
      <c r="E10" s="462">
        <f>transport!E54</f>
        <v>0</v>
      </c>
      <c r="F10" s="462">
        <f>transport!F54</f>
        <v>0</v>
      </c>
      <c r="G10" s="462">
        <f>transport!G54</f>
        <v>3651.614946110371</v>
      </c>
      <c r="H10" s="462">
        <f>transport!H54</f>
        <v>0</v>
      </c>
      <c r="I10" s="462">
        <f>transport!I54</f>
        <v>0</v>
      </c>
      <c r="J10" s="462">
        <f>transport!J54</f>
        <v>0</v>
      </c>
      <c r="K10" s="462">
        <f>transport!K54</f>
        <v>0</v>
      </c>
      <c r="L10" s="462">
        <f>transport!L54</f>
        <v>0</v>
      </c>
      <c r="M10" s="462">
        <f>transport!M54</f>
        <v>162.39624819833244</v>
      </c>
      <c r="N10" s="462">
        <f>transport!N54</f>
        <v>0</v>
      </c>
      <c r="O10" s="462">
        <f>transport!O54</f>
        <v>0</v>
      </c>
      <c r="P10" s="463">
        <f>transport!P54</f>
        <v>0</v>
      </c>
      <c r="Q10" s="461">
        <f t="shared" si="0"/>
        <v>3814.0111943087036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2933.12349661077</v>
      </c>
      <c r="C14" s="469"/>
      <c r="D14" s="469">
        <f>'SEAP template'!E25</f>
        <v>8311.1143356270495</v>
      </c>
      <c r="E14" s="469"/>
      <c r="F14" s="469"/>
      <c r="G14" s="469"/>
      <c r="H14" s="469"/>
      <c r="I14" s="469"/>
      <c r="J14" s="469"/>
      <c r="K14" s="469"/>
      <c r="L14" s="469"/>
      <c r="M14" s="469"/>
      <c r="N14" s="469"/>
      <c r="O14" s="469"/>
      <c r="P14" s="470"/>
      <c r="Q14" s="461">
        <f t="shared" si="0"/>
        <v>11244.237832237819</v>
      </c>
    </row>
    <row r="15" spans="1:17" s="474" customFormat="1">
      <c r="A15" s="471" t="s">
        <v>568</v>
      </c>
      <c r="B15" s="472">
        <f ca="1">SUM(B4:B14)</f>
        <v>272875.1913736976</v>
      </c>
      <c r="C15" s="472">
        <f t="shared" ref="C15:Q15" ca="1" si="1">SUM(C4:C14)</f>
        <v>19144.285714285717</v>
      </c>
      <c r="D15" s="472">
        <f t="shared" ca="1" si="1"/>
        <v>400846.96534907212</v>
      </c>
      <c r="E15" s="472">
        <f t="shared" si="1"/>
        <v>18038.695129346692</v>
      </c>
      <c r="F15" s="472">
        <f t="shared" ca="1" si="1"/>
        <v>95266.252579125387</v>
      </c>
      <c r="G15" s="472">
        <f t="shared" si="1"/>
        <v>299434.70887293213</v>
      </c>
      <c r="H15" s="472">
        <f t="shared" si="1"/>
        <v>51238.720994318755</v>
      </c>
      <c r="I15" s="472">
        <f t="shared" si="1"/>
        <v>0</v>
      </c>
      <c r="J15" s="472">
        <f t="shared" si="1"/>
        <v>665.92542904886716</v>
      </c>
      <c r="K15" s="472">
        <f t="shared" si="1"/>
        <v>0</v>
      </c>
      <c r="L15" s="472">
        <f t="shared" ca="1" si="1"/>
        <v>0</v>
      </c>
      <c r="M15" s="472">
        <f t="shared" si="1"/>
        <v>15848.905732173596</v>
      </c>
      <c r="N15" s="472">
        <f t="shared" ca="1" si="1"/>
        <v>75462.650915245831</v>
      </c>
      <c r="O15" s="472">
        <f t="shared" si="1"/>
        <v>509.64666666666665</v>
      </c>
      <c r="P15" s="472">
        <f t="shared" si="1"/>
        <v>2021.0666666666666</v>
      </c>
      <c r="Q15" s="472">
        <f t="shared" ca="1" si="1"/>
        <v>1251353.0154225801</v>
      </c>
    </row>
    <row r="17" spans="1:17">
      <c r="A17" s="475" t="s">
        <v>569</v>
      </c>
      <c r="B17" s="781">
        <f ca="1">huishoudens!B10</f>
        <v>0.19378423860148744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12963.273698138757</v>
      </c>
      <c r="C22" s="462">
        <f t="shared" ref="C22:C32" ca="1" si="3">C4*$C$17</f>
        <v>0</v>
      </c>
      <c r="D22" s="462">
        <f t="shared" ref="D22:D32" si="4">D4*$D$17</f>
        <v>34281.277140333506</v>
      </c>
      <c r="E22" s="462">
        <f t="shared" ref="E22:E32" si="5">E4*$E$17</f>
        <v>2843.6275678670195</v>
      </c>
      <c r="F22" s="462">
        <f t="shared" ref="F22:F32" si="6">F4*$F$17</f>
        <v>13422.849551096544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63511.027957435828</v>
      </c>
    </row>
    <row r="23" spans="1:17">
      <c r="A23" s="461" t="s">
        <v>156</v>
      </c>
      <c r="B23" s="462">
        <f t="shared" ca="1" si="2"/>
        <v>16991.058063702916</v>
      </c>
      <c r="C23" s="462">
        <f t="shared" ca="1" si="3"/>
        <v>0</v>
      </c>
      <c r="D23" s="462">
        <f t="shared" ca="1" si="4"/>
        <v>19091.583430753584</v>
      </c>
      <c r="E23" s="462">
        <f t="shared" si="5"/>
        <v>205.37030345695661</v>
      </c>
      <c r="F23" s="462">
        <f t="shared" ca="1" si="6"/>
        <v>4831.2336732261938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41119.245471139657</v>
      </c>
    </row>
    <row r="24" spans="1:17">
      <c r="A24" s="461" t="s">
        <v>194</v>
      </c>
      <c r="B24" s="462">
        <f t="shared" ca="1" si="2"/>
        <v>329.03129711166918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329.03129711166918</v>
      </c>
    </row>
    <row r="25" spans="1:17">
      <c r="A25" s="461" t="s">
        <v>112</v>
      </c>
      <c r="B25" s="462">
        <f t="shared" ca="1" si="2"/>
        <v>753.79862109942894</v>
      </c>
      <c r="C25" s="462">
        <f t="shared" ca="1" si="3"/>
        <v>0</v>
      </c>
      <c r="D25" s="462">
        <f t="shared" si="4"/>
        <v>97.76391990829822</v>
      </c>
      <c r="E25" s="462">
        <f t="shared" si="5"/>
        <v>11.126989837124695</v>
      </c>
      <c r="F25" s="462">
        <f t="shared" si="6"/>
        <v>3583.4287893586402</v>
      </c>
      <c r="G25" s="462">
        <f t="shared" si="7"/>
        <v>0</v>
      </c>
      <c r="H25" s="462">
        <f t="shared" si="8"/>
        <v>0</v>
      </c>
      <c r="I25" s="462">
        <f t="shared" si="9"/>
        <v>0</v>
      </c>
      <c r="J25" s="462">
        <f t="shared" si="10"/>
        <v>207.08810773836001</v>
      </c>
      <c r="K25" s="462">
        <f t="shared" si="11"/>
        <v>0</v>
      </c>
      <c r="L25" s="462">
        <f t="shared" si="12"/>
        <v>0</v>
      </c>
      <c r="M25" s="462">
        <f t="shared" si="13"/>
        <v>0</v>
      </c>
      <c r="N25" s="462">
        <f t="shared" si="14"/>
        <v>0</v>
      </c>
      <c r="O25" s="462">
        <f t="shared" si="15"/>
        <v>0</v>
      </c>
      <c r="P25" s="463">
        <f t="shared" si="16"/>
        <v>0</v>
      </c>
      <c r="Q25" s="461">
        <f t="shared" ca="1" si="17"/>
        <v>4653.2064279418519</v>
      </c>
    </row>
    <row r="26" spans="1:17">
      <c r="A26" s="461" t="s">
        <v>657</v>
      </c>
      <c r="B26" s="462">
        <f t="shared" ca="1" si="2"/>
        <v>21269.211020034123</v>
      </c>
      <c r="C26" s="462">
        <f t="shared" ca="1" si="3"/>
        <v>0</v>
      </c>
      <c r="D26" s="462">
        <f t="shared" si="4"/>
        <v>25814.776730105936</v>
      </c>
      <c r="E26" s="462">
        <f t="shared" si="5"/>
        <v>786.9451808399092</v>
      </c>
      <c r="F26" s="462">
        <f t="shared" si="6"/>
        <v>3598.5774249451024</v>
      </c>
      <c r="G26" s="462">
        <f t="shared" si="7"/>
        <v>0</v>
      </c>
      <c r="H26" s="462">
        <f t="shared" si="8"/>
        <v>0</v>
      </c>
      <c r="I26" s="462">
        <f t="shared" si="9"/>
        <v>0</v>
      </c>
      <c r="J26" s="462">
        <f t="shared" si="10"/>
        <v>28.649494144938952</v>
      </c>
      <c r="K26" s="462">
        <f t="shared" si="11"/>
        <v>0</v>
      </c>
      <c r="L26" s="462">
        <f t="shared" si="12"/>
        <v>0</v>
      </c>
      <c r="M26" s="462">
        <f t="shared" si="13"/>
        <v>0</v>
      </c>
      <c r="N26" s="462">
        <f t="shared" si="14"/>
        <v>0</v>
      </c>
      <c r="O26" s="462">
        <f t="shared" si="15"/>
        <v>0</v>
      </c>
      <c r="P26" s="463">
        <f t="shared" si="16"/>
        <v>0</v>
      </c>
      <c r="Q26" s="461">
        <f t="shared" ca="1" si="17"/>
        <v>51498.159850070013</v>
      </c>
    </row>
    <row r="27" spans="1:17" s="467" customFormat="1">
      <c r="A27" s="465" t="s">
        <v>574</v>
      </c>
      <c r="B27" s="775">
        <f t="shared" ca="1" si="2"/>
        <v>4.1453899854097847</v>
      </c>
      <c r="C27" s="466">
        <f t="shared" ca="1" si="3"/>
        <v>0</v>
      </c>
      <c r="D27" s="466">
        <f t="shared" si="4"/>
        <v>6.8406836145769407</v>
      </c>
      <c r="E27" s="466">
        <f t="shared" si="5"/>
        <v>247.71375236068889</v>
      </c>
      <c r="F27" s="466">
        <f t="shared" si="6"/>
        <v>0</v>
      </c>
      <c r="G27" s="466">
        <f t="shared" si="7"/>
        <v>78974.08607846142</v>
      </c>
      <c r="H27" s="466">
        <f t="shared" si="8"/>
        <v>12758.44152758537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91991.227432007465</v>
      </c>
    </row>
    <row r="28" spans="1:17">
      <c r="A28" s="461" t="s">
        <v>564</v>
      </c>
      <c r="B28" s="462">
        <f t="shared" ca="1" si="2"/>
        <v>0</v>
      </c>
      <c r="C28" s="462">
        <f t="shared" ca="1" si="3"/>
        <v>0</v>
      </c>
      <c r="D28" s="462">
        <f t="shared" si="4"/>
        <v>0</v>
      </c>
      <c r="E28" s="462">
        <f t="shared" si="5"/>
        <v>0</v>
      </c>
      <c r="F28" s="462">
        <f t="shared" si="6"/>
        <v>0</v>
      </c>
      <c r="G28" s="462">
        <f t="shared" si="7"/>
        <v>974.98119061146906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974.98119061146906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568.39310351485062</v>
      </c>
      <c r="C32" s="462">
        <f t="shared" ca="1" si="3"/>
        <v>0</v>
      </c>
      <c r="D32" s="462">
        <f t="shared" si="4"/>
        <v>1678.8450957966641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2247.2381993115146</v>
      </c>
    </row>
    <row r="33" spans="1:17" s="474" customFormat="1">
      <c r="A33" s="471" t="s">
        <v>568</v>
      </c>
      <c r="B33" s="472">
        <f ca="1">SUM(B22:B32)</f>
        <v>52878.911193587155</v>
      </c>
      <c r="C33" s="472">
        <f t="shared" ref="C33:Q33" ca="1" si="18">SUM(C22:C32)</f>
        <v>0</v>
      </c>
      <c r="D33" s="472">
        <f t="shared" ca="1" si="18"/>
        <v>80971.087000512562</v>
      </c>
      <c r="E33" s="472">
        <f t="shared" si="18"/>
        <v>4094.7837943616987</v>
      </c>
      <c r="F33" s="472">
        <f t="shared" ca="1" si="18"/>
        <v>25436.089438626481</v>
      </c>
      <c r="G33" s="472">
        <f t="shared" si="18"/>
        <v>79949.067269072882</v>
      </c>
      <c r="H33" s="472">
        <f t="shared" si="18"/>
        <v>12758.44152758537</v>
      </c>
      <c r="I33" s="472">
        <f t="shared" si="18"/>
        <v>0</v>
      </c>
      <c r="J33" s="472">
        <f t="shared" si="18"/>
        <v>235.73760188329896</v>
      </c>
      <c r="K33" s="472">
        <f t="shared" si="18"/>
        <v>0</v>
      </c>
      <c r="L33" s="472">
        <f t="shared" ca="1" si="18"/>
        <v>0</v>
      </c>
      <c r="M33" s="472">
        <f t="shared" si="18"/>
        <v>0</v>
      </c>
      <c r="N33" s="472">
        <f t="shared" ca="1" si="18"/>
        <v>0</v>
      </c>
      <c r="O33" s="472">
        <f t="shared" si="18"/>
        <v>0</v>
      </c>
      <c r="P33" s="472">
        <f t="shared" si="18"/>
        <v>0</v>
      </c>
      <c r="Q33" s="472">
        <f t="shared" ca="1" si="18"/>
        <v>256324.11782562945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20203.099999999999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13401.000000000002</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15765.88235294118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33604.1</v>
      </c>
      <c r="C10" s="1051">
        <f>SUM(C4:C9)</f>
        <v>0</v>
      </c>
      <c r="D10" s="1051">
        <f t="shared" ref="D10:H10" si="0">SUM(D8:D9)</f>
        <v>0</v>
      </c>
      <c r="E10" s="1051">
        <f t="shared" si="0"/>
        <v>0</v>
      </c>
      <c r="F10" s="1051">
        <f t="shared" si="0"/>
        <v>0</v>
      </c>
      <c r="G10" s="1051">
        <f t="shared" si="0"/>
        <v>0</v>
      </c>
      <c r="H10" s="1051">
        <f t="shared" si="0"/>
        <v>0</v>
      </c>
      <c r="I10" s="1051">
        <f>SUM(I8:I9)</f>
        <v>0</v>
      </c>
      <c r="J10" s="1051">
        <f>SUM(J8:J9)</f>
        <v>15765.88235294118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0.19378423860148744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19144.285714285717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22522.689075630256</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19144.285714285717</v>
      </c>
      <c r="C20" s="1051">
        <f>SUM(C17:C19)</f>
        <v>0</v>
      </c>
      <c r="D20" s="1051">
        <f t="shared" ref="D20:H20" si="2">SUM(D17:D19)</f>
        <v>0</v>
      </c>
      <c r="E20" s="1051">
        <f t="shared" si="2"/>
        <v>0</v>
      </c>
      <c r="F20" s="1051">
        <f t="shared" si="2"/>
        <v>0</v>
      </c>
      <c r="G20" s="1051">
        <f t="shared" si="2"/>
        <v>0</v>
      </c>
      <c r="H20" s="1051">
        <f t="shared" si="2"/>
        <v>0</v>
      </c>
      <c r="I20" s="1051">
        <f>SUM(I17:I19)</f>
        <v>0</v>
      </c>
      <c r="J20" s="1051">
        <f>SUM(J17:J19)</f>
        <v>22522.689075630256</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0.19378423860148744</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2019-08-12T08:01:11Z</dcterms:modified>
</cp:coreProperties>
</file>