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<sst xmlns="http://schemas.openxmlformats.org/spreadsheetml/2006/main" count="2432" uniqueCount="913">
  <si>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</si>
  <si>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</si>
  <si>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</si>
  <si>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</si>
  <si>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</si>
  <si>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</si>
  <si>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</si>
  <si>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</si>
  <si>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</si>
  <si>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</si>
  <si>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</si>
  <si>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</si>
  <si>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</si>
  <si>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</si>
  <si>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</si>
  <si>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</si>
  <si>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</si>
  <si>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</si>
  <si>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</si>
  <si>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</si>
  <si>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</si>
  <si>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</si>
  <si>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</si>
  <si>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</si>
  <si>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</si>
  <si>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</si>
  <si>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</si>
  <si>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</si>
  <si>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</si>
  <si>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</si>
  <si>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</si>
  <si>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</si>
  <si>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</si>
  <si>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</si>
  <si>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</si>
  <si>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</si>
  <si>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</si>
  <si>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</si>
  <si>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</si>
  <si>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</si>
  <si>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</si>
  <si>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</si>
  <si>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</si>
  <si>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</si>
  <si>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</si>
  <si>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</si>
  <si>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</si>
  <si>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</si>
  <si>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</si>
  <si>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</si>
  <si>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</si>
  <si>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</si>
  <si>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</si>
  <si>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</si>
  <si>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</si>
  <si>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</si>
  <si>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</si>
  <si>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</si>
  <si>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</si>
  <si>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</si>
  <si>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</si>
  <si>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</si>
  <si>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</si>
  <si>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</si>
  <si>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</si>
  <si>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</si>
  <si>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</si>
  <si>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</si>
  <si>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</si>
  <si>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</si>
  <si>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</si>
  <si>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</si>
  <si>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</si>
  <si>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</si>
  <si>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</si>
  <si>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</si>
  <si>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</si>
  <si>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</si>
  <si>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</si>
  <si>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</si>
  <si>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</si>
  <si>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</si>
  <si>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</si>
  <si>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</si>
  <si>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</si>
  <si>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</si>
  <si>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</si>
  <si>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</si>
  <si>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</si>
  <si>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</si>
  <si>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</si>
  <si>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</si>
  <si>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</si>
  <si>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</si>
  <si>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</si>
  <si>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</si>
  <si>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</si>
  <si>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</si>
  <si>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</si>
  <si>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</si>
  <si>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</si>
  <si>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</si>
  <si>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</si>
  <si>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</si>
  <si>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</si>
  <si>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</si>
  <si>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</si>
  <si>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</si>
  <si>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</si>
  <si>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</si>
  <si>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</si>
  <si>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</si>
  <si>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</si>
  <si>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</si>
  <si>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</si>
  <si>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</si>
  <si>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</si>
  <si>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</si>
  <si>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</si>
  <si>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</si>
  <si>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</si>
  <si>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</si>
  <si>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</si>
  <si>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</si>
  <si>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</si>
  <si>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</si>
  <si>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</si>
  <si>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</si>
  <si>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</si>
  <si>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</si>
  <si>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</si>
  <si>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</si>
  <si>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</si>
  <si>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</si>
  <si>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</si>
  <si>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</si>
  <si>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</si>
  <si>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</si>
  <si>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</si>
  <si>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</si>
  <si>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</si>
  <si>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</si>
  <si>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</si>
  <si>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</si>
  <si>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</si>
  <si>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</si>
  <si>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</si>
  <si>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</si>
  <si>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</si>
  <si>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</si>
  <si>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</si>
  <si>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</si>
  <si>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</si>
  <si>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</si>
  <si>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</si>
  <si>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</si>
  <si>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</si>
  <si>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</si>
  <si>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</si>
  <si>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</si>
  <si>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</si>
  <si>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</si>
  <si>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</si>
  <si>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</si>
  <si>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</si>
  <si>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</si>
  <si>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</si>
  <si>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</si>
  <si>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</si>
  <si>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</si>
  <si>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</si>
  <si>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</si>
  <si>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</si>
  <si>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</si>
  <si>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</si>
  <si>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</si>
  <si>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</si>
  <si>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</si>
  <si>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</si>
  <si>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</si>
  <si>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</si>
  <si>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</si>
  <si>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</si>
  <si>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</si>
  <si>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</si>
  <si>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</si>
  <si>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</si>
  <si>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</si>
  <si>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</si>
  <si>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</si>
  <si>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</si>
  <si>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</si>
  <si>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</si>
  <si>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</si>
  <si>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</si>
  <si>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</si>
  <si>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</si>
  <si>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</si>
  <si>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</si>
  <si>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</si>
  <si>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</si>
  <si>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</si>
  <si>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</si>
  <si>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</si>
  <si>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</si>
  <si>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</si>
  <si>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</si>
  <si>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</si>
  <si>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</si>
  <si>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</si>
  <si>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</si>
  <si>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</si>
  <si>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</si>
  <si>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</si>
  <si>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</si>
  <si>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</si>
  <si>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</si>
  <si>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</si>
  <si>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</si>
  <si>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</si>
  <si>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</si>
  <si>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</si>
  <si>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</si>
  <si>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</si>
  <si>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</si>
  <si>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</si>
  <si>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</si>
  <si>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</si>
  <si>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</si>
  <si>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</si>
  <si>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</si>
  <si>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</si>
  <si>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</si>
  <si>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</si>
  <si>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</si>
  <si>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</si>
  <si>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</si>
  <si>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</si>
  <si>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</si>
  <si>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</si>
  <si>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</si>
  <si>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</si>
  <si>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</si>
  <si>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</si>
  <si>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</si>
  <si>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</si>
  <si>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</si>
  <si>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</si>
  <si>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</si>
  <si>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</si>
  <si>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</si>
  <si>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</si>
  <si>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</si>
  <si>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</si>
  <si>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</si>
  <si>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</si>
  <si>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</si>
  <si>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</si>
  <si>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</si>
  <si>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</si>
  <si>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</si>
  <si>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</si>
  <si>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</si>
  <si>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</si>
  <si>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</si>
  <si>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</si>
  <si>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</si>
  <si>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</si>
  <si>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</si>
  <si>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</si>
  <si>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</si>
  <si>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</si>
  <si>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</si>
  <si>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</si>
  <si>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</si>
  <si>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</si>
  <si>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</si>
  <si>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</si>
  <si>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</si>
  <si>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</si>
  <si>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</si>
  <si>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</si>
  <si>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</si>
  <si>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</si>
  <si>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</si>
  <si>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</si>
  <si>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</si>
  <si>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</si>
  <si>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</si>
  <si>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</si>
  <si>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</si>
  <si>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</si>
  <si>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</si>
  <si>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</si>
  <si>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</si>
  <si>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</si>
  <si>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</si>
  <si>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</si>
  <si>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</si>
  <si>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</si>
  <si>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</si>
  <si>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</si>
  <si>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</si>
  <si>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</si>
  <si>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</si>
  <si>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</si>
  <si>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</si>
  <si>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</si>
  <si>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</si>
  <si>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</si>
  <si>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</si>
  <si>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</si>
  <si>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</si>
  <si>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</si>
  <si>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</si>
  <si>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</si>
  <si>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</si>
  <si>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</si>
  <si>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</si>
  <si>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</si>
  <si>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</si>
  <si>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</si>
  <si>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</si>
  <si>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</si>
  <si>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</si>
  <si>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</si>
  <si>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</si>
  <si>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</si>
  <si>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</si>
  <si>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</si>
  <si>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</si>
  <si>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</si>
  <si>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</si>
  <si>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</si>
  <si>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</si>
  <si>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</si>
  <si>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</si>
  <si>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</si>
  <si>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</si>
  <si>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</si>
  <si>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</si>
  <si>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</si>
  <si>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</si>
  <si>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</si>
  <si>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</si>
  <si>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</si>
  <si>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</si>
  <si>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</si>
  <si>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</si>
  <si>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</si>
  <si>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</si>
  <si>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</si>
  <si>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</si>
  <si>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</si>
  <si>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</si>
  <si>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</si>
  <si>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</si>
  <si>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</si>
  <si>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</si>
  <si>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</si>
  <si>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</si>
  <si>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</si>
  <si>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</si>
  <si>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</si>
  <si>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</si>
  <si>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</si>
  <si>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</si>
  <si>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</si>
  <si>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</si>
  <si>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</si>
  <si>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</si>
  <si>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</si>
  <si>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</si>
  <si>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</si>
  <si>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</si>
  <si>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</si>
  <si>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</si>
  <si>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</si>
  <si>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</si>
  <si>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</si>
  <si>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</si>
  <si>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</si>
  <si>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</si>
  <si>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</si>
  <si>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</si>
  <si>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</si>
  <si>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</si>
  <si>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</si>
  <si>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</si>
  <si>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</si>
  <si>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</si>
  <si>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</si>
  <si>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</si>
  <si>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</si>
  <si>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</si>
  <si>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</si>
  <si>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</si>
  <si>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</si>
  <si>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</si>
  <si>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</si>
  <si>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</si>
  <si>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</si>
  <si>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</si>
  <si>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</si>
  <si>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</si>
  <si>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</si>
  <si>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</si>
  <si>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</si>
  <si>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</si>
  <si>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</si>
  <si>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</si>
  <si>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</si>
  <si>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</si>
  <si>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</si>
  <si>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</si>
  <si>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</si>
  <si>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</si>
  <si>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</si>
  <si>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</si>
  <si>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</si>
  <si>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</si>
  <si>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</si>
  <si>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</si>
  <si>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</si>
  <si>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</si>
  <si>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</si>
  <si>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</si>
  <si>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</si>
  <si>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</si>
  <si>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</si>
  <si>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</si>
  <si>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</si>
  <si>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</si>
  <si>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</si>
  <si>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</si>
  <si>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</si>
  <si>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</si>
  <si>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</si>
  <si>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</si>
  <si>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</si>
  <si>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</si>
  <si>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</si>
  <si>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</si>
  <si>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</si>
  <si>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</si>
  <si>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</si>
  <si>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</si>
  <si>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</si>
  <si>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</si>
  <si>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</si>
  <si>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</si>
  <si>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</si>
  <si>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</si>
  <si>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</si>
  <si>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</si>
  <si>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</si>
  <si>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</si>
  <si>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</si>
  <si>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</si>
  <si>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</si>
  <si>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</si>
  <si>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</si>
  <si>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</si>
  <si>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</si>
  <si>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</si>
  <si>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</si>
  <si>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</si>
  <si>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</si>
  <si>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</si>
  <si>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</si>
  <si>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</si>
  <si>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</si>
  <si>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</si>
  <si>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</si>
  <si>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</si>
  <si>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</si>
  <si>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</si>
  <si>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</si>
  <si>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</si>
  <si>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</si>
  <si>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</si>
  <si>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</si>
  <si>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</si>
  <si>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</si>
  <si>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</si>
  <si>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</si>
  <si>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</si>
  <si>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</si>
  <si>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</si>
  <si>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</si>
  <si>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</si>
  <si>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</si>
  <si>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</si>
  <si>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</si>
  <si>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</si>
  <si>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</si>
  <si>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</si>
  <si>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</si>
  <si>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</si>
  <si>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</si>
  <si>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</si>
  <si>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</si>
  <si>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</si>
  <si>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</si>
  <si>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</si>
  <si>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</si>
  <si>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</si>
  <si>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</si>
  <si>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</si>
  <si>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</si>
  <si>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</si>
  <si>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</si>
  <si>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</si>
  <si>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</si>
  <si>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</si>
  <si>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</si>
  <si>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</si>
  <si>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</si>
  <si>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</si>
  <si>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</si>
  <si>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</si>
  <si>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</si>
  <si>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</si>
  <si>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</si>
  <si>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</si>
  <si>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</si>
  <si>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</si>
  <si>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</si>
  <si>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</si>
  <si>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</si>
  <si>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</si>
  <si>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</si>
  <si>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</si>
  <si>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</si>
  <si>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</si>
  <si>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</si>
  <si>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</si>
  <si>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</si>
  <si>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</si>
  <si>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</si>
  <si>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</si>
  <si>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</si>
  <si>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</si>
  <si>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</si>
  <si>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</si>
  <si>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</si>
  <si>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</si>
  <si>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</si>
  <si>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</si>
  <si>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</si>
  <si>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</si>
  <si>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</si>
  <si>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</si>
  <si>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</si>
  <si>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</si>
  <si>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</si>
  <si>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</si>
  <si>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</si>
  <si>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</si>
  <si>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</si>
  <si>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</si>
  <si>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</si>
  <si>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</si>
  <si>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</si>
  <si>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</si>
  <si>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</si>
  <si>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</si>
  <si>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</si>
  <si>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</si>
  <si>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</si>
  <si>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</si>
  <si>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</si>
  <si>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</si>
  <si>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</si>
  <si>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</si>
  <si>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</si>
  <si>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</si>
  <si>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</si>
  <si>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</si>
  <si>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</si>
  <si>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</si>
  <si>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</si>
  <si>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</si>
  <si>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</si>
  <si>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</si>
  <si>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</si>
  <si>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</si>
  <si>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</si>
  <si>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</si>
  <si>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</si>
  <si>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</si>
  <si>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</si>
  <si>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</si>
  <si>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</si>
  <si>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</si>
  <si>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</si>
  <si>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</si>
  <si>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</si>
  <si>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</si>
  <si>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</si>
  <si>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</si>
  <si>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</si>
  <si>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</si>
  <si>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</si>
  <si>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</si>
  <si>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</si>
  <si>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</si>
  <si>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</si>
  <si>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</si>
  <si>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</si>
  <si>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</si>
  <si>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</si>
  <si>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</si>
  <si>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</si>
  <si>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</si>
  <si>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</si>
  <si>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</si>
  <si>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</si>
  <si>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</si>
  <si>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</si>
  <si>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</si>
  <si>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</si>
  <si>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</si>
  <si>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</si>
  <si>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</si>
  <si>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</si>
  <si>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</si>
  <si>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</si>
  <si>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</si>
  <si>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</si>
  <si>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</si>
  <si>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</si>
  <si>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</si>
  <si>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</si>
  <si>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</si>
  <si>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</si>
  <si>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</si>
  <si>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</si>
  <si>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</si>
  <si>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</si>
  <si>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</si>
  <si>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</si>
  <si>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</si>
  <si>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</si>
  <si>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</si>
  <si>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</si>
  <si>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</si>
  <si>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</si>
  <si>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</si>
  <si>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</si>
  <si>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</si>
  <si>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</si>
  <si>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</si>
  <si>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</si>
  <si>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</si>
  <si>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</si>
  <si>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</si>
  <si>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</si>
  <si>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</si>
  <si>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</si>
  <si>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</si>
  <si>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</si>
  <si>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</si>
  <si>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</si>
  <si>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</si>
  <si>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</si>
  <si>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</si>
  <si>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</si>
  <si>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</si>
  <si>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</si>
  <si>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</si>
  <si>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</si>
  <si>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</si>
  <si>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</si>
  <si>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</si>
  <si>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</si>
  <si>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</si>
  <si>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</si>
  <si>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</si>
  <si>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</si>
  <si>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</si>
  <si>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</si>
  <si>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</si>
  <si>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</si>
  <si>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</si>
  <si>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</si>
  <si>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</si>
  <si>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</si>
  <si>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</si>
  <si>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</si>
  <si>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</si>
  <si>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</si>
  <si>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</si>
  <si>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</si>
  <si>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</si>
  <si>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</si>
  <si>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</si>
  <si>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</si>
  <si>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</si>
  <si>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</si>
  <si>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</si>
  <si>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</si>
  <si>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</si>
  <si>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</si>
  <si>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</si>
  <si>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</si>
  <si>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</si>
  <si>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</si>
  <si>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</si>
  <si>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</si>
  <si>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</si>
  <si>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</si>
  <si>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</si>
  <si>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</si>
  <si>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</si>
  <si>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</si>
  <si>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</si>
  <si>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</si>
  <si>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</si>
  <si>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</si>
  <si>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</si>
  <si>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</si>
  <si>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</si>
  <si>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</si>
  <si>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</si>
  <si>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</si>
  <si>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</si>
  <si>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</si>
  <si>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</si>
  <si>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</si>
  <si>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</si>
  <si>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</si>
  <si>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</si>
  <si>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</si>
  <si>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</si>
  <si>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</si>
  <si>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</si>
  <si>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</si>
  <si>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</si>
  <si>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</si>
  <si>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</si>
  <si>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</si>
  <si>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</si>
  <si>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</si>
  <si>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</si>
  <si>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</si>
  <si>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</si>
  <si>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</si>
  <si>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</si>
  <si>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</si>
  <si>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</si>
  <si>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</si>
  <si>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</si>
  <si>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</si>
  <si>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</si>
  <si>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</si>
  <si>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</si>
  <si>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</si>
  <si>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</si>
  <si>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</si>
  <si>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</si>
  <si>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</si>
  <si>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</si>
  <si>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</si>
  <si>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</si>
  <si>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</si>
  <si>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</si>
  <si>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</si>
  <si>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</si>
  <si>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</si>
  <si>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</si>
  <si>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</si>
  <si>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</si>
  <si>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</si>
  <si>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</si>
  <si>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</si>
  <si>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</si>
  <si>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</si>
  <si>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</si>
  <si>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</si>
  <si>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</si>
  <si>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</si>
  <si>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</si>
  <si>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</si>
  <si>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</si>
  <si>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</si>
  <si>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</si>
  <si>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</si>
  <si>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</si>
  <si>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</si>
  <si>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</si>
  <si>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</si>
  <si>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</si>
  <si>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</si>
  <si>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</si>
  <si>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</si>
  <si>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</si>
  <si>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</si>
  <si>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</si>
  <si>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</si>
  <si>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</si>
  <si>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</si>
  <si>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</si>
  <si>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</si>
  <si>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</si>
  <si>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</si>
  <si>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</si>
  <si>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</si>
  <si>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</si>
  <si>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</si>
  <si>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</si>
  <si>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</si>
  <si>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</si>
  <si>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</si>
  <si>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</si>
  <si>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</si>
  <si>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</si>
  <si>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</si>
  <si>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</si>
  <si>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</si>
  <si>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</si>
  <si>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</si>
  <si>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</si>
  <si>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</si>
  <si>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</si>
  <si>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</si>
  <si>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</si>
  <si>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</si>
  <si>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</si>
  <si>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</si>
  <si>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</si>
  <si>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</si>
  <si>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</si>
  <si>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</si>
  <si>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</si>
  <si>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</si>
  <si>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</si>
  <si>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</si>
  <si>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</si>
  <si>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</si>
  <si>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</si>
  <si>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</si>
  <si>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</si>
  <si>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</si>
  <si>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</si>
  <si>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</si>
  <si>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</si>
  <si>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</si>
  <si>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</si>
  <si>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</si>
  <si>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</si>
  <si>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</si>
  <si>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</si>
  <si>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</si>
  <si>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</si>
  <si>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</si>
  <si>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</si>
  <si>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</si>
  <si>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</si>
  <si>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</si>
  <si>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</si>
  <si>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</si>
  <si>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</si>
  <si>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</si>
  <si>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</si>
  <si>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</si>
  <si>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</si>
  <si>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</si>
  <si>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</si>
  <si>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</si>
  <si>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</si>
  <si>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</si>
  <si>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</si>
  <si>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</si>
  <si>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</si>
  <si>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</si>
  <si>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</si>
  <si>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</si>
  <si>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</si>
  <si>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</si>
  <si>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</si>
  <si>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</si>
  <si>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</si>
  <si>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</si>
  <si>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</si>
  <si>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</si>
  <si>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</si>
  <si>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</si>
  <si>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</si>
  <si>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</si>
  <si>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</si>
  <si>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</si>
  <si>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</si>
  <si>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</si>
  <si>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</si>
  <si>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</si>
  <si>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</si>
  <si>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</si>
  <si>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</si>
  <si>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</si>
  <si>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</si>
  <si>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</si>
  <si>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</si>
  <si>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</si>
  <si>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</si>
  <si>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</si>
  <si>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13003</t>
  </si>
  <si>
    <t>BALEN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</si>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</sst>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220492.24188890331</c:v>
                </c:pt>
                <c:pt idx="1">
                  <c:v>34548.889992232522</c:v>
                </c:pt>
                <c:pt idx="2">
                  <c:v>1339.0139999999999</c:v>
                </c:pt>
                <c:pt idx="3">
                  <c:v>7733.5647988146502</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220492.24188890331</c:v>
                </c:pt>
                <c:pt idx="1">
                  <c:v>34548.889992232522</c:v>
                </c:pt>
                <c:pt idx="2">
                  <c:v>1339.0139999999999</c:v>
                </c:pt>
                <c:pt idx="3">
                  <c:v>7733.5647988146502</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43647.743918632521</c:v>
                </c:pt>
                <c:pt idx="2">
                  <c:v>6637.1938952507808</c:v>
                </c:pt>
                <c:pt idx="3">
                  <c:v>259.96273802317944</c:v>
                </c:pt>
                <c:pt idx="4">
                  <c:v>1959.9351806299376</c:v>
                </c:pt>
                <c:pt idx="5">
                  <c:v>6359.8679114385432</c:v>
                </c:pt>
                <c:pt idx="6">
                  <c:v>17639.698358133744</c:v>
                </c:pt>
                <c:pt idx="7">
                  <c:v>201.61613211565876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72864"/>
      </c:barChart>
      <c:catAx>
        <c:axId val="182771072"/>
        <c:scaling>
          <c:orientation val="minMax"/>
        </c:scaling>
        <c:axPos val="b"/>
        <c:numFmt formatCode="General" sourceLinked="0"/>
        <c:tickLblPos val="nextTo"/>
        <c:crossAx val="182772864"/>
        <c:crosses val="autoZero"/>
        <c:auto val="1"/>
        <c:lblAlgn val="ctr"/>
        <c:lblOffset val="100"/>
      </c:catAx>
      <c:valAx>
        <c:axId val="182772864"/>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43647.743918632521</c:v>
                </c:pt>
                <c:pt idx="2">
                  <c:v>6637.1938952507808</c:v>
                </c:pt>
                <c:pt idx="3">
                  <c:v>259.96273802317944</c:v>
                </c:pt>
                <c:pt idx="4">
                  <c:v>1959.9351806299376</c:v>
                </c:pt>
                <c:pt idx="5">
                  <c:v>6359.8679114385432</c:v>
                </c:pt>
                <c:pt idx="6">
                  <c:v>17639.698358133744</c:v>
                </c:pt>
                <c:pt idx="7">
                  <c:v>201.61613211565876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13003</v>
      </c>
      <c r="B6" s="398"/>
      <c r="C6" s="399"/>
    </row>
    <row r="7" spans="1:7" s="396" customFormat="1" ht="15.75" customHeight="1">
      <c r="A7" s="400" t="str">
        <f>txtMunicipality</f>
        <v>BALEN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0.19414489917445182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0.19414489917445182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8932</v>
      </c>
      <c r="C9" s="338">
        <v>9375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2809</v>
      </c>
    </row>
    <row r="15" spans="1:6">
      <c r="A15" s="1295" t="s">
        <v>184</v>
      </c>
      <c r="B15" s="335">
        <v>1488</v>
      </c>
    </row>
    <row r="16" spans="1:6">
      <c r="A16" s="1295" t="s">
        <v>6</v>
      </c>
      <c r="B16" s="335">
        <v>552</v>
      </c>
    </row>
    <row r="17" spans="1:6">
      <c r="A17" s="1295" t="s">
        <v>7</v>
      </c>
      <c r="B17" s="335">
        <v>136</v>
      </c>
    </row>
    <row r="18" spans="1:6">
      <c r="A18" s="1295" t="s">
        <v>8</v>
      </c>
      <c r="B18" s="335">
        <v>330</v>
      </c>
    </row>
    <row r="19" spans="1:6">
      <c r="A19" s="1295" t="s">
        <v>9</v>
      </c>
      <c r="B19" s="335">
        <v>313</v>
      </c>
    </row>
    <row r="20" spans="1:6">
      <c r="A20" s="1295" t="s">
        <v>10</v>
      </c>
      <c r="B20" s="335">
        <v>209</v>
      </c>
    </row>
    <row r="21" spans="1:6">
      <c r="A21" s="1295" t="s">
        <v>11</v>
      </c>
      <c r="B21" s="335">
        <v>4660</v>
      </c>
    </row>
    <row r="22" spans="1:6">
      <c r="A22" s="1295" t="s">
        <v>12</v>
      </c>
      <c r="B22" s="335">
        <v>15631</v>
      </c>
    </row>
    <row r="23" spans="1:6">
      <c r="A23" s="1295" t="s">
        <v>13</v>
      </c>
      <c r="B23" s="335">
        <v>216</v>
      </c>
    </row>
    <row r="24" spans="1:6">
      <c r="A24" s="1295" t="s">
        <v>14</v>
      </c>
      <c r="B24" s="335">
        <v>12</v>
      </c>
    </row>
    <row r="25" spans="1:6">
      <c r="A25" s="1295" t="s">
        <v>15</v>
      </c>
      <c r="B25" s="335">
        <v>1121</v>
      </c>
    </row>
    <row r="26" spans="1:6">
      <c r="A26" s="1295" t="s">
        <v>16</v>
      </c>
      <c r="B26" s="335">
        <v>498</v>
      </c>
    </row>
    <row r="27" spans="1:6">
      <c r="A27" s="1295" t="s">
        <v>17</v>
      </c>
      <c r="B27" s="335">
        <v>26</v>
      </c>
    </row>
    <row r="28" spans="1:6" s="341" customFormat="1">
      <c r="A28" s="1296" t="s">
        <v>18</v>
      </c>
      <c r="B28" s="1296">
        <v>90072</v>
      </c>
    </row>
    <row r="29" spans="1:6">
      <c r="A29" s="1296" t="s">
        <v>909</v>
      </c>
      <c r="B29" s="1296">
        <v>318</v>
      </c>
      <c r="C29" s="341"/>
      <c r="D29" s="341"/>
      <c r="E29" s="341"/>
      <c r="F29" s="341"/>
    </row>
    <row r="30" spans="1:6">
      <c r="A30" s="1291" t="s">
        <v>910</v>
      </c>
      <c r="B30" s="1291">
        <v>129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3</v>
      </c>
      <c r="D38" s="335">
        <v>190107.30858838401</v>
      </c>
      <c r="E38" s="335">
        <v>3</v>
      </c>
      <c r="F38" s="335">
        <v>13857.4853620585</v>
      </c>
    </row>
    <row r="39" spans="1:6">
      <c r="A39" s="1295" t="s">
        <v>30</v>
      </c>
      <c r="B39" s="1295" t="s">
        <v>31</v>
      </c>
      <c r="C39" s="335">
        <v>3382</v>
      </c>
      <c r="D39" s="335">
        <v>60484719.910529397</v>
      </c>
      <c r="E39" s="335">
        <v>8957</v>
      </c>
      <c r="F39" s="335">
        <v>35340761.281907</v>
      </c>
    </row>
    <row r="40" spans="1:6">
      <c r="A40" s="1295" t="s">
        <v>30</v>
      </c>
      <c r="B40" s="1295" t="s">
        <v>29</v>
      </c>
      <c r="C40" s="335">
        <v>0</v>
      </c>
      <c r="D40" s="335">
        <v>0</v>
      </c>
      <c r="E40" s="335">
        <v>0</v>
      </c>
      <c r="F40" s="335">
        <v>0</v>
      </c>
    </row>
    <row r="41" spans="1:6">
      <c r="A41" s="1295" t="s">
        <v>32</v>
      </c>
      <c r="B41" s="1295" t="s">
        <v>33</v>
      </c>
      <c r="C41" s="335">
        <v>19</v>
      </c>
      <c r="D41" s="335">
        <v>434584.98278127197</v>
      </c>
      <c r="E41" s="335">
        <v>142</v>
      </c>
      <c r="F41" s="335">
        <v>1159254.1133763399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719032.31058616901</v>
      </c>
      <c r="E44" s="335">
        <v>15</v>
      </c>
      <c r="F44" s="335">
        <v>2838045.88609797</v>
      </c>
    </row>
    <row r="45" spans="1:6">
      <c r="A45" s="1295" t="s">
        <v>32</v>
      </c>
      <c r="B45" s="1295" t="s">
        <v>37</v>
      </c>
      <c r="C45" s="335">
        <v>0</v>
      </c>
      <c r="D45" s="335">
        <v>0</v>
      </c>
      <c r="E45" s="335">
        <v>3</v>
      </c>
      <c r="F45" s="335">
        <v>77517.313259988005</v>
      </c>
    </row>
    <row r="46" spans="1:6">
      <c r="A46" s="1295" t="s">
        <v>32</v>
      </c>
      <c r="B46" s="1295" t="s">
        <v>38</v>
      </c>
      <c r="C46" s="335">
        <v>0</v>
      </c>
      <c r="D46" s="335">
        <v>0</v>
      </c>
      <c r="E46" s="335">
        <v>0</v>
      </c>
      <c r="F46" s="335">
        <v>0</v>
      </c>
    </row>
    <row r="47" spans="1:6">
      <c r="A47" s="1295" t="s">
        <v>32</v>
      </c>
      <c r="B47" s="1295" t="s">
        <v>39</v>
      </c>
      <c r="C47" s="335">
        <v>0</v>
      </c>
      <c r="D47" s="335">
        <v>0</v>
      </c>
      <c r="E47" s="335">
        <v>3</v>
      </c>
      <c r="F47" s="335">
        <v>11619.255886249301</v>
      </c>
    </row>
    <row r="48" spans="1:6">
      <c r="A48" s="1295" t="s">
        <v>32</v>
      </c>
      <c r="B48" s="1295" t="s">
        <v>29</v>
      </c>
      <c r="C48" s="335">
        <v>22</v>
      </c>
      <c r="D48" s="335">
        <v>3443001.2192933699</v>
      </c>
      <c r="E48" s="335">
        <v>42</v>
      </c>
      <c r="F48" s="335">
        <v>11873258.0785725</v>
      </c>
    </row>
    <row r="49" spans="1:6">
      <c r="A49" s="1295" t="s">
        <v>32</v>
      </c>
      <c r="B49" s="1295" t="s">
        <v>40</v>
      </c>
      <c r="C49" s="335">
        <v>0</v>
      </c>
      <c r="D49" s="335">
        <v>0</v>
      </c>
      <c r="E49" s="335">
        <v>0</v>
      </c>
      <c r="F49" s="335">
        <v>0</v>
      </c>
    </row>
    <row r="50" spans="1:6">
      <c r="A50" s="1295" t="s">
        <v>32</v>
      </c>
      <c r="B50" s="1295" t="s">
        <v>41</v>
      </c>
      <c r="C50" s="335">
        <v>3</v>
      </c>
      <c r="D50" s="335">
        <v>1316088.83986563</v>
      </c>
      <c r="E50" s="335">
        <v>21</v>
      </c>
      <c r="F50" s="335">
        <v>1275522.6847597801</v>
      </c>
    </row>
    <row r="51" spans="1:6">
      <c r="A51" s="1295" t="s">
        <v>42</v>
      </c>
      <c r="B51" s="1295" t="s">
        <v>43</v>
      </c>
      <c r="C51" s="335">
        <v>0</v>
      </c>
      <c r="D51" s="335">
        <v>0</v>
      </c>
      <c r="E51" s="335">
        <v>58</v>
      </c>
      <c r="F51" s="335">
        <v>1309245.9555675299</v>
      </c>
    </row>
    <row r="52" spans="1:6">
      <c r="A52" s="1295" t="s">
        <v>42</v>
      </c>
      <c r="B52" s="1295" t="s">
        <v>29</v>
      </c>
      <c r="C52" s="335">
        <v>2</v>
      </c>
      <c r="D52" s="335">
        <v>82868.948884817204</v>
      </c>
      <c r="E52" s="335">
        <v>10</v>
      </c>
      <c r="F52" s="335">
        <v>350935.67029461497</v>
      </c>
    </row>
    <row r="53" spans="1:6">
      <c r="A53" s="1295" t="s">
        <v>44</v>
      </c>
      <c r="B53" s="1295" t="s">
        <v>45</v>
      </c>
      <c r="C53" s="335">
        <v>64</v>
      </c>
      <c r="D53" s="335">
        <v>2144639.92247649</v>
      </c>
      <c r="E53" s="335">
        <v>250</v>
      </c>
      <c r="F53" s="335">
        <v>1133959.3980263399</v>
      </c>
    </row>
    <row r="54" spans="1:6">
      <c r="A54" s="1295" t="s">
        <v>46</v>
      </c>
      <c r="B54" s="1295" t="s">
        <v>47</v>
      </c>
      <c r="C54" s="335">
        <v>0</v>
      </c>
      <c r="D54" s="335">
        <v>0</v>
      </c>
      <c r="E54" s="335">
        <v>1</v>
      </c>
      <c r="F54" s="335">
        <v>1339014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473011.26998635399</v>
      </c>
      <c r="E57" s="335">
        <v>137</v>
      </c>
      <c r="F57" s="335">
        <v>2528606.1846589199</v>
      </c>
    </row>
    <row r="58" spans="1:6">
      <c r="A58" s="1295" t="s">
        <v>49</v>
      </c>
      <c r="B58" s="1295" t="s">
        <v>51</v>
      </c>
      <c r="C58" s="335">
        <v>9</v>
      </c>
      <c r="D58" s="335">
        <v>906100.92913115199</v>
      </c>
      <c r="E58" s="335">
        <v>20</v>
      </c>
      <c r="F58" s="335">
        <v>331683.09106291598</v>
      </c>
    </row>
    <row r="59" spans="1:6">
      <c r="A59" s="1295" t="s">
        <v>49</v>
      </c>
      <c r="B59" s="1295" t="s">
        <v>52</v>
      </c>
      <c r="C59" s="335">
        <v>30</v>
      </c>
      <c r="D59" s="335">
        <v>1941935.57246041</v>
      </c>
      <c r="E59" s="335">
        <v>192</v>
      </c>
      <c r="F59" s="335">
        <v>5160332.3004244501</v>
      </c>
    </row>
    <row r="60" spans="1:6">
      <c r="A60" s="1295" t="s">
        <v>49</v>
      </c>
      <c r="B60" s="1295" t="s">
        <v>53</v>
      </c>
      <c r="C60" s="335">
        <v>22</v>
      </c>
      <c r="D60" s="335">
        <v>1276156.2019699099</v>
      </c>
      <c r="E60" s="335">
        <v>77</v>
      </c>
      <c r="F60" s="335">
        <v>1968814.57959399</v>
      </c>
    </row>
    <row r="61" spans="1:6">
      <c r="A61" s="1295" t="s">
        <v>49</v>
      </c>
      <c r="B61" s="1295" t="s">
        <v>54</v>
      </c>
      <c r="C61" s="335">
        <v>41</v>
      </c>
      <c r="D61" s="335">
        <v>2722991.98554001</v>
      </c>
      <c r="E61" s="335">
        <v>136</v>
      </c>
      <c r="F61" s="335">
        <v>2099903.8979321201</v>
      </c>
    </row>
    <row r="62" spans="1:6">
      <c r="A62" s="1295" t="s">
        <v>49</v>
      </c>
      <c r="B62" s="1295" t="s">
        <v>55</v>
      </c>
      <c r="C62" s="335">
        <v>0</v>
      </c>
      <c r="D62" s="335">
        <v>0</v>
      </c>
      <c r="E62" s="335">
        <v>6</v>
      </c>
      <c r="F62" s="335">
        <v>33572.132676847497</v>
      </c>
    </row>
    <row r="63" spans="1:6">
      <c r="A63" s="1295" t="s">
        <v>49</v>
      </c>
      <c r="B63" s="1295" t="s">
        <v>29</v>
      </c>
      <c r="C63" s="335">
        <v>101</v>
      </c>
      <c r="D63" s="335">
        <v>4841706.4899512902</v>
      </c>
      <c r="E63" s="335">
        <v>133</v>
      </c>
      <c r="F63" s="335">
        <v>5305064.3361293003</v>
      </c>
    </row>
    <row r="64" spans="1:6">
      <c r="A64" s="1295" t="s">
        <v>56</v>
      </c>
      <c r="B64" s="1295" t="s">
        <v>57</v>
      </c>
      <c r="C64" s="335">
        <v>0</v>
      </c>
      <c r="D64" s="335">
        <v>0</v>
      </c>
      <c r="E64" s="335">
        <v>0</v>
      </c>
      <c r="F64" s="335">
        <v>0</v>
      </c>
    </row>
    <row r="65" spans="1:6">
      <c r="A65" s="1295" t="s">
        <v>56</v>
      </c>
      <c r="B65" s="1295" t="s">
        <v>29</v>
      </c>
      <c r="C65" s="335">
        <v>2</v>
      </c>
      <c r="D65" s="335">
        <v>47933.538482916003</v>
      </c>
      <c r="E65" s="335">
        <v>2</v>
      </c>
      <c r="F65" s="335">
        <v>32112.564418108101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42967.938402571999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80176925</v>
      </c>
      <c r="E73" s="335">
        <v>83681749.499970704</v>
      </c>
    </row>
    <row r="74" spans="1:6">
      <c r="A74" s="1295" t="s">
        <v>64</v>
      </c>
      <c r="B74" s="1295" t="s">
        <v>727</v>
      </c>
      <c r="C74" s="1295" t="s">
        <v>728</v>
      </c>
      <c r="D74" s="335">
        <v>2846761.6331187226</v>
      </c>
      <c r="E74" s="335">
        <v>3056703.2067068447</v>
      </c>
    </row>
    <row r="75" spans="1:6">
      <c r="A75" s="1295" t="s">
        <v>65</v>
      </c>
      <c r="B75" s="1295" t="s">
        <v>725</v>
      </c>
      <c r="C75" s="1295" t="s">
        <v>729</v>
      </c>
      <c r="D75" s="335">
        <v>15991363</v>
      </c>
      <c r="E75" s="335">
        <v>16690485.48861469</v>
      </c>
    </row>
    <row r="76" spans="1:6">
      <c r="A76" s="1295" t="s">
        <v>65</v>
      </c>
      <c r="B76" s="1295" t="s">
        <v>727</v>
      </c>
      <c r="C76" s="1295" t="s">
        <v>730</v>
      </c>
      <c r="D76" s="335">
        <v>246668.63311872238</v>
      </c>
      <c r="E76" s="335">
        <v>273297.27511711675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208364.73376255523</v>
      </c>
      <c r="C83" s="335">
        <v>205850.79175873796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7603.59</v>
      </c>
    </row>
    <row r="92" spans="1:6">
      <c r="A92" s="1291" t="s">
        <v>69</v>
      </c>
      <c r="B92" s="338">
        <v>2329.875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706</v>
      </c>
    </row>
    <row r="98" spans="1:6">
      <c r="A98" s="1295" t="s">
        <v>72</v>
      </c>
      <c r="B98" s="335">
        <v>9</v>
      </c>
    </row>
    <row r="99" spans="1:6">
      <c r="A99" s="1295" t="s">
        <v>73</v>
      </c>
      <c r="B99" s="335">
        <v>68</v>
      </c>
    </row>
    <row r="100" spans="1:6">
      <c r="A100" s="1295" t="s">
        <v>74</v>
      </c>
      <c r="B100" s="335">
        <v>447</v>
      </c>
    </row>
    <row r="101" spans="1:6">
      <c r="A101" s="1295" t="s">
        <v>75</v>
      </c>
      <c r="B101" s="335">
        <v>116</v>
      </c>
    </row>
    <row r="102" spans="1:6">
      <c r="A102" s="1295" t="s">
        <v>76</v>
      </c>
      <c r="B102" s="335">
        <v>76</v>
      </c>
    </row>
    <row r="103" spans="1:6">
      <c r="A103" s="1295" t="s">
        <v>77</v>
      </c>
      <c r="B103" s="335">
        <v>293</v>
      </c>
    </row>
    <row r="104" spans="1:6">
      <c r="A104" s="1295" t="s">
        <v>78</v>
      </c>
      <c r="B104" s="335">
        <v>5797</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39</v>
      </c>
      <c r="C123" s="335">
        <v>21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356</v>
      </c>
    </row>
    <row r="130" spans="1:6">
      <c r="A130" s="1295" t="s">
        <v>295</v>
      </c>
      <c r="B130" s="335">
        <v>2</v>
      </c>
    </row>
    <row r="131" spans="1:6">
      <c r="A131" s="1295" t="s">
        <v>296</v>
      </c>
      <c r="B131" s="335">
        <v>1</v>
      </c>
    </row>
    <row r="132" spans="1:6">
      <c r="A132" s="1291" t="s">
        <v>297</v>
      </c>
      <c r="B132" s="338">
        <v>45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81745.951328231124</v>
      </c>
      <c r="C3" s="43" t="s">
        <v>170</v>
      </c>
      <c r="D3" s="43"/>
      <c r="E3" s="156"/>
      <c r="F3" s="43"/>
      <c r="G3" s="43"/>
      <c r="H3" s="43"/>
      <c r="I3" s="43"/>
      <c r="J3" s="43"/>
      <c r="K3" s="96"/>
    </row>
    <row r="4" spans="1:11">
      <c r="A4" s="366" t="s">
        <v>171</v>
      </c>
      <c r="B4" s="49">
        <f>IF(ISERROR('SEAP template'!B78+'SEAP template'!C78),0,'SEAP template'!B78+'SEAP template'!C78)</f>
        <v>9933.4650000000001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0.19414489917445182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1339.0139999999999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1339.0139999999999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0.19414489917445182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259.96273802317944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35340.761281906998</v>
      </c>
      <c r="C5" s="17">
        <f>IF(ISERROR('Eigen informatie GS &amp; warmtenet'!B57),0,'Eigen informatie GS &amp; warmtenet'!B57)</f>
        <v>0</v>
      </c>
      <c r="D5" s="30">
        <f>(SUM(HH_hh_gas_kWh,HH_rest_gas_kWh)/1000)*0.902</f>
        <v>54557.217359297516</v>
      </c>
      <c r="E5" s="17">
        <f>B46*B57</f>
        <v>4605.6938008908501</v>
      </c>
      <c r="F5" s="17">
        <f>B51*B62</f>
        <v>85687.11923745113</v>
      </c>
      <c r="G5" s="18"/>
      <c r="H5" s="17"/>
      <c r="I5" s="17"/>
      <c r="J5" s="17">
        <f>B50*B61+C50*C61</f>
        <v>1033.3500935442776</v>
      </c>
      <c r="K5" s="17"/>
      <c r="L5" s="17"/>
      <c r="M5" s="17"/>
      <c r="N5" s="17">
        <f>B48*B59+C48*C59</f>
        <v>29454.46678247919</v>
      </c>
      <c r="O5" s="17">
        <f>B69*B70*B71</f>
        <v>589.37666666666667</v>
      </c>
      <c r="P5" s="17">
        <f>B77*B78*B79/1000-B77*B78*B79/1000/B80</f>
        <v>1620.6666666666665</v>
      </c>
    </row>
    <row r="6" spans="1:16">
      <c r="A6" s="16" t="s">
        <v>634</v>
      </c>
      <c r="B6" s="783">
        <f>kWh_PV_kleiner_dan_10kW</f>
        <v>7603.59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42944.351281907002</v>
      </c>
      <c r="C8" s="21">
        <f>C5</f>
        <v>0</v>
      </c>
      <c r="D8" s="21">
        <f>D5</f>
        <v>54557.217359297516</v>
      </c>
      <c r="E8" s="21">
        <f>E5</f>
        <v>4605.6938008908501</v>
      </c>
      <c r="F8" s="21">
        <f>F5</f>
        <v>85687.11923745113</v>
      </c>
      <c r="G8" s="21"/>
      <c r="H8" s="21"/>
      <c r="I8" s="21"/>
      <c r="J8" s="21">
        <f>J5</f>
        <v>1033.3500935442776</v>
      </c>
      <c r="K8" s="21"/>
      <c r="L8" s="21">
        <f>L5</f>
        <v>0</v>
      </c>
      <c r="M8" s="21">
        <f>M5</f>
        <v>0</v>
      </c>
      <c r="N8" s="21">
        <f>N5</f>
        <v>29454.46678247919</v>
      </c>
      <c r="O8" s="21">
        <f>O5</f>
        <v>589.37666666666667</v>
      </c>
      <c r="P8" s="21">
        <f>P5</f>
        <v>1620.6666666666665</v>
      </c>
    </row>
    <row r="9" spans="1:16">
      <c r="B9" s="19"/>
      <c r="C9" s="19"/>
      <c r="D9" s="261"/>
      <c r="E9" s="19"/>
      <c r="F9" s="19"/>
      <c r="G9" s="19"/>
      <c r="H9" s="19"/>
      <c r="I9" s="19"/>
      <c r="J9" s="19"/>
      <c r="K9" s="19"/>
      <c r="L9" s="19"/>
      <c r="M9" s="19"/>
      <c r="N9" s="19"/>
      <c r="O9" s="19"/>
      <c r="P9" s="19"/>
    </row>
    <row r="10" spans="1:16">
      <c r="A10" s="24" t="s">
        <v>214</v>
      </c>
      <c r="B10" s="25">
        <f ca="1">'EF ele_warmte'!B12</f>
        <v>0.19414489917445182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8337.4267497380752</v>
      </c>
      <c r="C12" s="23">
        <f ca="1">C10*C8</f>
        <v>0</v>
      </c>
      <c r="D12" s="23">
        <f>D8*D10</f>
        <v>11020.557906578098</v>
      </c>
      <c r="E12" s="23">
        <f>E10*E8</f>
        <v>1045.4924928022231</v>
      </c>
      <c r="F12" s="23">
        <f>F10*F8</f>
        <v>22878.460836399452</v>
      </c>
      <c r="G12" s="23"/>
      <c r="H12" s="23"/>
      <c r="I12" s="23"/>
      <c r="J12" s="23">
        <f>J10*J8</f>
        <v>365.80593311467425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706</v>
      </c>
      <c r="C18" s="168" t="s">
        <v>111</v>
      </c>
      <c r="D18" s="230"/>
      <c r="E18" s="15"/>
    </row>
    <row r="19" spans="1:7">
      <c r="A19" s="173" t="s">
        <v>72</v>
      </c>
      <c r="B19" s="37">
        <f>aantalw2001_ander</f>
        <v>9</v>
      </c>
      <c r="C19" s="168" t="s">
        <v>111</v>
      </c>
      <c r="D19" s="231"/>
      <c r="E19" s="15"/>
    </row>
    <row r="20" spans="1:7">
      <c r="A20" s="173" t="s">
        <v>73</v>
      </c>
      <c r="B20" s="37">
        <f>aantalw2001_propaan</f>
        <v>68</v>
      </c>
      <c r="C20" s="169">
        <f>IF(ISERROR(B20/SUM($B$20,$B$21,$B$22)*100),0,B20/SUM($B$20,$B$21,$B$22)*100)</f>
        <v>10.776545166402537</v>
      </c>
      <c r="D20" s="231"/>
      <c r="E20" s="15"/>
    </row>
    <row r="21" spans="1:7">
      <c r="A21" s="173" t="s">
        <v>74</v>
      </c>
      <c r="B21" s="37">
        <f>aantalw2001_elektriciteit</f>
        <v>447</v>
      </c>
      <c r="C21" s="169">
        <f>IF(ISERROR(B21/SUM($B$20,$B$21,$B$22)*100),0,B21/SUM($B$20,$B$21,$B$22)*100)</f>
        <v>70.839936608557835</v>
      </c>
      <c r="D21" s="231"/>
      <c r="E21" s="15"/>
    </row>
    <row r="22" spans="1:7">
      <c r="A22" s="173" t="s">
        <v>75</v>
      </c>
      <c r="B22" s="37">
        <f>aantalw2001_hout</f>
        <v>116</v>
      </c>
      <c r="C22" s="169">
        <f>IF(ISERROR(B22/SUM($B$20,$B$21,$B$22)*100),0,B22/SUM($B$20,$B$21,$B$22)*100)</f>
        <v>18.383518225039619</v>
      </c>
      <c r="D22" s="231"/>
      <c r="E22" s="15"/>
    </row>
    <row r="23" spans="1:7">
      <c r="A23" s="173" t="s">
        <v>76</v>
      </c>
      <c r="B23" s="37">
        <f>aantalw2001_niet_gespec</f>
        <v>76</v>
      </c>
      <c r="C23" s="168" t="s">
        <v>111</v>
      </c>
      <c r="D23" s="230"/>
      <c r="E23" s="15"/>
    </row>
    <row r="24" spans="1:7">
      <c r="A24" s="173" t="s">
        <v>77</v>
      </c>
      <c r="B24" s="37">
        <f>aantalw2001_steenkool</f>
        <v>293</v>
      </c>
      <c r="C24" s="168" t="s">
        <v>111</v>
      </c>
      <c r="D24" s="231"/>
      <c r="E24" s="15"/>
    </row>
    <row r="25" spans="1:7">
      <c r="A25" s="173" t="s">
        <v>78</v>
      </c>
      <c r="B25" s="37">
        <f>aantalw2001_stookolie</f>
        <v>5797</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8932</v>
      </c>
      <c r="C28" s="36"/>
      <c r="D28" s="230"/>
    </row>
    <row r="29" spans="1:7" s="15" customFormat="1">
      <c r="A29" s="232" t="s">
        <v>746</v>
      </c>
      <c r="B29" s="37">
        <f>SUM(HH_hh_gas_aantal,HH_rest_gas_aantal)</f>
        <v>3382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3382</v>
      </c>
      <c r="C32" s="169">
        <f>IF(ISERROR(B32/SUM($B$32,$B$34,$B$35,$B$36,$B$38,$B$39)*100),0,B32/SUM($B$32,$B$34,$B$35,$B$36,$B$38,$B$39)*100)</f>
        <v>38.227647790211371</v>
      </c>
      <c r="D32" s="235"/>
      <c r="G32" s="15"/>
    </row>
    <row r="33" spans="1:7">
      <c r="A33" s="173" t="s">
        <v>72</v>
      </c>
      <c r="B33" s="34" t="s">
        <v>111</v>
      </c>
      <c r="C33" s="169"/>
      <c r="D33" s="235"/>
      <c r="G33" s="15"/>
    </row>
    <row r="34" spans="1:7">
      <c r="A34" s="173" t="s">
        <v>73</v>
      </c>
      <c r="B34" s="33">
        <f>IF((($B$28-$B$32-$B$39-$B$77-$B$38)*C20/100)&lt;0,0,($B$28-$B$32-$B$39-$B$77-$B$38)*C20/100)</f>
        <v>221.02694136291603</v>
      </c>
      <c r="C34" s="169">
        <f>IF(ISERROR(B34/SUM($B$32,$B$34,$B$35,$B$36,$B$38,$B$39)*100),0,B34/SUM($B$32,$B$34,$B$35,$B$36,$B$38,$B$39)*100)</f>
        <v>2.4983264537460839</v>
      </c>
      <c r="D34" s="235"/>
      <c r="G34" s="15"/>
    </row>
    <row r="35" spans="1:7">
      <c r="A35" s="173" t="s">
        <v>74</v>
      </c>
      <c r="B35" s="33">
        <f>IF((($B$28-$B$32-$B$39-$B$77-$B$38)*C21/100)&lt;0,0,($B$28-$B$32-$B$39-$B$77-$B$38)*C21/100)</f>
        <v>1452.9270998415211</v>
      </c>
      <c r="C35" s="169">
        <f>IF(ISERROR(B35/SUM($B$32,$B$34,$B$35,$B$36,$B$38,$B$39)*100),0,B35/SUM($B$32,$B$34,$B$35,$B$36,$B$38,$B$39)*100)</f>
        <v>16.422822423889695</v>
      </c>
      <c r="D35" s="235"/>
      <c r="G35" s="15"/>
    </row>
    <row r="36" spans="1:7">
      <c r="A36" s="173" t="s">
        <v>75</v>
      </c>
      <c r="B36" s="33">
        <f>IF((($B$28-$B$32-$B$39-$B$77-$B$38)*C22/100)&lt;0,0,($B$28-$B$32-$B$39-$B$77-$B$38)*C22/100)</f>
        <v>377.04595879556263</v>
      </c>
      <c r="C36" s="169">
        <f>IF(ISERROR(B36/SUM($B$32,$B$34,$B$35,$B$36,$B$38,$B$39)*100),0,B36/SUM($B$32,$B$34,$B$35,$B$36,$B$38,$B$39)*100)</f>
        <v>4.2618510093315551</v>
      </c>
      <c r="D36" s="235"/>
      <c r="G36" s="15"/>
    </row>
    <row r="37" spans="1:7">
      <c r="A37" s="173" t="s">
        <v>76</v>
      </c>
      <c r="B37" s="34" t="s">
        <v>111</v>
      </c>
      <c r="C37" s="169"/>
      <c r="D37" s="175"/>
      <c r="G37" s="15"/>
    </row>
    <row r="38" spans="1:7">
      <c r="A38" s="173" t="s">
        <v>77</v>
      </c>
      <c r="B38" s="33">
        <f>IF((B24-(B29-B18)*0.1)&lt;0,0,B24-(B29-B18)*0.1)</f>
        <v>25.399999999999977</v>
      </c>
      <c r="C38" s="169">
        <f>IF(ISERROR(B38/SUM($B$32,$B$34,$B$35,$B$36,$B$38,$B$39)*100),0,B38/SUM($B$32,$B$34,$B$35,$B$36,$B$38,$B$39)*100)</f>
        <v>0.28710297275912711</v>
      </c>
      <c r="D38" s="236"/>
      <c r="G38" s="15"/>
    </row>
    <row r="39" spans="1:7">
      <c r="A39" s="173" t="s">
        <v>78</v>
      </c>
      <c r="B39" s="33">
        <f>IF((B25-(B29-B18))&lt;0,0,B25-(B29-B18)*0.9)</f>
        <v>3388.6</v>
      </c>
      <c r="C39" s="169">
        <f>IF(ISERROR(B39/SUM($B$32,$B$34,$B$35,$B$36,$B$38,$B$39)*100),0,B39/SUM($B$32,$B$34,$B$35,$B$36,$B$38,$B$39)*100)</f>
        <v>38.302249350062169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3382</v>
      </c>
      <c r="C44" s="34" t="s">
        <v>111</v>
      </c>
      <c r="D44" s="176"/>
    </row>
    <row r="45" spans="1:7">
      <c r="A45" s="173" t="s">
        <v>72</v>
      </c>
      <c r="B45" s="33" t="str">
        <f t="shared" si="0"/>
        <v>-</v>
      </c>
      <c r="C45" s="34" t="s">
        <v>111</v>
      </c>
      <c r="D45" s="176"/>
    </row>
    <row r="46" spans="1:7">
      <c r="A46" s="173" t="s">
        <v>73</v>
      </c>
      <c r="B46" s="33">
        <f t="shared" si="0"/>
        <v>221.02694136291603</v>
      </c>
      <c r="C46" s="34" t="s">
        <v>111</v>
      </c>
      <c r="D46" s="176"/>
    </row>
    <row r="47" spans="1:7">
      <c r="A47" s="173" t="s">
        <v>74</v>
      </c>
      <c r="B47" s="33">
        <f t="shared" si="0"/>
        <v>1452.9270998415211</v>
      </c>
      <c r="C47" s="34" t="s">
        <v>111</v>
      </c>
      <c r="D47" s="176"/>
    </row>
    <row r="48" spans="1:7">
      <c r="A48" s="173" t="s">
        <v>75</v>
      </c>
      <c r="B48" s="33">
        <f t="shared" si="0"/>
        <v>377.04595879556263</v>
      </c>
      <c r="C48" s="33">
        <f>B48*10</f>
        <v>3770.4595879556264</v>
      </c>
      <c r="D48" s="236"/>
    </row>
    <row r="49" spans="1:6">
      <c r="A49" s="173" t="s">
        <v>76</v>
      </c>
      <c r="B49" s="33" t="str">
        <f t="shared" si="0"/>
        <v>-</v>
      </c>
      <c r="C49" s="34" t="s">
        <v>111</v>
      </c>
      <c r="D49" s="236"/>
    </row>
    <row r="50" spans="1:6">
      <c r="A50" s="173" t="s">
        <v>77</v>
      </c>
      <c r="B50" s="33">
        <f t="shared" si="0"/>
        <v>25.399999999999977</v>
      </c>
      <c r="C50" s="33">
        <f>B50*2</f>
        <v>50.799999999999955</v>
      </c>
      <c r="D50" s="236"/>
    </row>
    <row r="51" spans="1:6">
      <c r="A51" s="173" t="s">
        <v>78</v>
      </c>
      <c r="B51" s="33">
        <f t="shared" si="0"/>
        <v>3388.6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17427.976522478544</v>
      </c>
      <c r="C5" s="17">
        <f>IF(ISERROR('Eigen informatie GS &amp; warmtenet'!B58),0,'Eigen informatie GS &amp; warmtenet'!B58)</f>
        <v>0</v>
      </c>
      <c r="D5" s="30">
        <f>SUM(D6:D12)</f>
        <v>10970.036009033291</v>
      </c>
      <c r="E5" s="17">
        <f>SUM(E6:E12)</f>
        <v>269.80225287859435</v>
      </c>
      <c r="F5" s="17">
        <f>SUM(F6:F12)</f>
        <v>3657.1114803419623</v>
      </c>
      <c r="G5" s="18"/>
      <c r="H5" s="17"/>
      <c r="I5" s="17"/>
      <c r="J5" s="17">
        <f>SUM(J6:J12)</f>
        <v>0</v>
      </c>
      <c r="K5" s="17"/>
      <c r="L5" s="17"/>
      <c r="M5" s="17"/>
      <c r="N5" s="17">
        <f>SUM(N6:N12)</f>
        <v>2201.7703941667983</v>
      </c>
      <c r="O5" s="17">
        <f>B38*B39*B40</f>
        <v>3.1266666666666669</v>
      </c>
      <c r="P5" s="17">
        <f>B46*B47*B48/1000-B46*B47*B48/1000/B49</f>
        <v>19.066666666666666</v>
      </c>
      <c r="R5" s="32"/>
    </row>
    <row r="6" spans="1:18">
      <c r="A6" s="32" t="s">
        <v>54</v>
      </c>
      <c r="B6" s="37">
        <f>B26</f>
        <v>2099.9038979321203</v>
      </c>
      <c r="C6" s="33"/>
      <c r="D6" s="37">
        <f>IF(ISERROR(TER_kantoor_gas_kWh/1000),0,TER_kantoor_gas_kWh/1000)*0.902</f>
        <v>2456.138770957089</v>
      </c>
      <c r="E6" s="33">
        <f>$C$26*'E Balans VL '!I12/100/3.6*1000000</f>
        <v>8.1585712190246049</v>
      </c>
      <c r="F6" s="33">
        <f>$C$26*('E Balans VL '!L12+'E Balans VL '!N12)/100/3.6*1000000</f>
        <v>319.37627527339458</v>
      </c>
      <c r="G6" s="34"/>
      <c r="H6" s="33"/>
      <c r="I6" s="33"/>
      <c r="J6" s="33">
        <f>$C$26*('E Balans VL '!D12+'E Balans VL '!E12)/100/3.6*1000000</f>
        <v>0</v>
      </c>
      <c r="K6" s="33"/>
      <c r="L6" s="33"/>
      <c r="M6" s="33"/>
      <c r="N6" s="33">
        <f>$C$26*'E Balans VL '!Y12/100/3.6*1000000</f>
        <v>1.1572986100523603</v>
      </c>
      <c r="O6" s="33"/>
      <c r="P6" s="33"/>
      <c r="R6" s="32"/>
    </row>
    <row r="7" spans="1:18">
      <c r="A7" s="32" t="s">
        <v>53</v>
      </c>
      <c r="B7" s="37">
        <f t="shared" ref="B7:B12" si="0">B27</f>
        <v>1968.8145795939899</v>
      </c>
      <c r="C7" s="33"/>
      <c r="D7" s="37">
        <f>IF(ISERROR(TER_horeca_gas_kWh/1000),0,TER_horeca_gas_kWh/1000)*0.902</f>
        <v>1151.0928941768589</v>
      </c>
      <c r="E7" s="33">
        <f>$C$27*'E Balans VL '!I9/100/3.6*1000000</f>
        <v>110.90385164233713</v>
      </c>
      <c r="F7" s="33">
        <f>$C$27*('E Balans VL '!L9+'E Balans VL '!N9)/100/3.6*1000000</f>
        <v>567.68825423223495</v>
      </c>
      <c r="G7" s="34"/>
      <c r="H7" s="33"/>
      <c r="I7" s="33"/>
      <c r="J7" s="33">
        <f>$C$27*('E Balans VL '!D9+'E Balans VL '!E9)/100/3.6*1000000</f>
        <v>0</v>
      </c>
      <c r="K7" s="33"/>
      <c r="L7" s="33"/>
      <c r="M7" s="33"/>
      <c r="N7" s="33">
        <f>$C$27*'E Balans VL '!Y9/100/3.6*1000000</f>
        <v>0.54357947450274902</v>
      </c>
      <c r="O7" s="33"/>
      <c r="P7" s="33"/>
      <c r="R7" s="32"/>
    </row>
    <row r="8" spans="1:18">
      <c r="A8" s="6" t="s">
        <v>52</v>
      </c>
      <c r="B8" s="37">
        <f t="shared" si="0"/>
        <v>5160.3323004244503</v>
      </c>
      <c r="C8" s="33"/>
      <c r="D8" s="37">
        <f>IF(ISERROR(TER_handel_gas_kWh/1000),0,TER_handel_gas_kWh/1000)*0.902</f>
        <v>1751.6258863592898</v>
      </c>
      <c r="E8" s="33">
        <f>$C$28*'E Balans VL '!I13/100/3.6*1000000</f>
        <v>74.377895715064568</v>
      </c>
      <c r="F8" s="33">
        <f>$C$28*('E Balans VL '!L13+'E Balans VL '!N13)/100/3.6*1000000</f>
        <v>896.46989661366331</v>
      </c>
      <c r="G8" s="34"/>
      <c r="H8" s="33"/>
      <c r="I8" s="33"/>
      <c r="J8" s="33">
        <f>$C$28*('E Balans VL '!D13+'E Balans VL '!E13)/100/3.6*1000000</f>
        <v>0</v>
      </c>
      <c r="K8" s="33"/>
      <c r="L8" s="33"/>
      <c r="M8" s="33"/>
      <c r="N8" s="33">
        <f>$C$28*'E Balans VL '!Y13/100/3.6*1000000</f>
        <v>15.460930032097298</v>
      </c>
      <c r="O8" s="33"/>
      <c r="P8" s="33"/>
      <c r="R8" s="32"/>
    </row>
    <row r="9" spans="1:18">
      <c r="A9" s="32" t="s">
        <v>51</v>
      </c>
      <c r="B9" s="37">
        <f t="shared" si="0"/>
        <v>331.68309106291599</v>
      </c>
      <c r="C9" s="33"/>
      <c r="D9" s="37">
        <f>IF(ISERROR(TER_gezond_gas_kWh/1000),0,TER_gezond_gas_kWh/1000)*0.902</f>
        <v>817.30303807629912</v>
      </c>
      <c r="E9" s="33">
        <f>$C$29*'E Balans VL '!I10/100/3.6*1000000</f>
        <v>0.35432351035528253</v>
      </c>
      <c r="F9" s="33">
        <f>$C$29*('E Balans VL '!L10+'E Balans VL '!N10)/100/3.6*1000000</f>
        <v>54.107592379761947</v>
      </c>
      <c r="G9" s="34"/>
      <c r="H9" s="33"/>
      <c r="I9" s="33"/>
      <c r="J9" s="33">
        <f>$C$29*('E Balans VL '!D10+'E Balans VL '!E10)/100/3.6*1000000</f>
        <v>0</v>
      </c>
      <c r="K9" s="33"/>
      <c r="L9" s="33"/>
      <c r="M9" s="33"/>
      <c r="N9" s="33">
        <f>$C$29*'E Balans VL '!Y10/100/3.6*1000000</f>
        <v>3.4144881678966468</v>
      </c>
      <c r="O9" s="33"/>
      <c r="P9" s="33"/>
      <c r="R9" s="32"/>
    </row>
    <row r="10" spans="1:18">
      <c r="A10" s="32" t="s">
        <v>50</v>
      </c>
      <c r="B10" s="37">
        <f t="shared" si="0"/>
        <v>2528.60618465892</v>
      </c>
      <c r="C10" s="33"/>
      <c r="D10" s="37">
        <f>IF(ISERROR(TER_ander_gas_kWh/1000),0,TER_ander_gas_kWh/1000)*0.902</f>
        <v>426.65616552769131</v>
      </c>
      <c r="E10" s="33">
        <f>$C$30*'E Balans VL '!I14/100/3.6*1000000</f>
        <v>11.628675213693235</v>
      </c>
      <c r="F10" s="33">
        <f>$C$30*('E Balans VL '!L14+'E Balans VL '!N14)/100/3.6*1000000</f>
        <v>757.90303294998216</v>
      </c>
      <c r="G10" s="34"/>
      <c r="H10" s="33"/>
      <c r="I10" s="33"/>
      <c r="J10" s="33">
        <f>$C$30*('E Balans VL '!D14+'E Balans VL '!E14)/100/3.6*1000000</f>
        <v>0</v>
      </c>
      <c r="K10" s="33"/>
      <c r="L10" s="33"/>
      <c r="M10" s="33"/>
      <c r="N10" s="33">
        <f>$C$30*'E Balans VL '!Y14/100/3.6*1000000</f>
        <v>1760.0768197605605</v>
      </c>
      <c r="O10" s="33"/>
      <c r="P10" s="33"/>
      <c r="R10" s="32"/>
    </row>
    <row r="11" spans="1:18">
      <c r="A11" s="32" t="s">
        <v>55</v>
      </c>
      <c r="B11" s="37">
        <f t="shared" si="0"/>
        <v>33.572132676847495</v>
      </c>
      <c r="C11" s="33"/>
      <c r="D11" s="37">
        <f>IF(ISERROR(TER_onderwijs_gas_kWh/1000),0,TER_onderwijs_gas_kWh/1000)*0.902</f>
        <v>0</v>
      </c>
      <c r="E11" s="33">
        <f>$C$31*'E Balans VL '!I11/100/3.6*1000000</f>
        <v>3.1142568087926741E-2</v>
      </c>
      <c r="F11" s="33">
        <f>$C$31*('E Balans VL '!L11+'E Balans VL '!N11)/100/3.6*1000000</f>
        <v>11.793118609382065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5305.0643361293005</v>
      </c>
      <c r="C12" s="33"/>
      <c r="D12" s="37">
        <f>IF(ISERROR(TER_rest_gas_kWh/1000),0,TER_rest_gas_kWh/1000)*0.902</f>
        <v>4367.2192539360631</v>
      </c>
      <c r="E12" s="33">
        <f>$C$32*'E Balans VL '!I8/100/3.6*1000000</f>
        <v>64.34779301003158</v>
      </c>
      <c r="F12" s="33">
        <f>$C$32*('E Balans VL '!L8+'E Balans VL '!N8)/100/3.6*1000000</f>
        <v>1049.7733102835437</v>
      </c>
      <c r="G12" s="34"/>
      <c r="H12" s="33"/>
      <c r="I12" s="33"/>
      <c r="J12" s="33">
        <f>$C$32*('E Balans VL '!D8+'E Balans VL '!E8)/100/3.6*1000000</f>
        <v>0</v>
      </c>
      <c r="K12" s="33"/>
      <c r="L12" s="33"/>
      <c r="M12" s="33"/>
      <c r="N12" s="33">
        <f>$C$32*'E Balans VL '!Y8/100/3.6*1000000</f>
        <v>421.11727812168874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17427.976522478544</v>
      </c>
      <c r="C16" s="21">
        <f t="shared" ca="1" si="1"/>
        <v>0</v>
      </c>
      <c r="D16" s="21">
        <f t="shared" ca="1" si="1"/>
        <v>10970.036009033291</v>
      </c>
      <c r="E16" s="21">
        <f t="shared" si="1"/>
        <v>269.80225287859435</v>
      </c>
      <c r="F16" s="21">
        <f t="shared" ca="1" si="1"/>
        <v>3657.1114803419623</v>
      </c>
      <c r="G16" s="21">
        <f t="shared" si="1"/>
        <v>0</v>
      </c>
      <c r="H16" s="21">
        <f t="shared" si="1"/>
        <v>0</v>
      </c>
      <c r="I16" s="21">
        <f t="shared" si="1"/>
        <v>0</v>
      </c>
      <c r="J16" s="21">
        <f t="shared" si="1"/>
        <v>0</v>
      </c>
      <c r="K16" s="21">
        <f t="shared" si="1"/>
        <v>0</v>
      </c>
      <c r="L16" s="21">
        <f t="shared" ca="1" si="1"/>
        <v>0</v>
      </c>
      <c r="M16" s="21">
        <f t="shared" si="1"/>
        <v>0</v>
      </c>
      <c r="N16" s="21">
        <f t="shared" ca="1" si="1"/>
        <v>2201.7703941667983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0.19414489917445182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3383.5527447713107</v>
      </c>
      <c r="C20" s="23">
        <f t="shared" ref="C20:P20" ca="1" si="2">C16*C18</f>
        <v>0</v>
      </c>
      <c r="D20" s="23">
        <f t="shared" ca="1" si="2"/>
        <v>2215.947273824725</v>
      </c>
      <c r="E20" s="23">
        <f t="shared" si="2"/>
        <v>61.245111403440916</v>
      </c>
      <c r="F20" s="23">
        <f t="shared" ca="1" si="2"/>
        <v>976.44876525130394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2099.9038979321203</v>
      </c>
      <c r="C26" s="39">
        <f>IF(ISERROR(B26*3.6/1000000/'E Balans VL '!Z12*100),0,B26*3.6/1000000/'E Balans VL '!Z12*100)</f>
        <v>4.460299894925069E-2</v>
      </c>
      <c r="D26" s="239" t="s">
        <v>692</v>
      </c>
      <c r="F26" s="6"/>
    </row>
    <row r="27" spans="1:18">
      <c r="A27" s="233" t="s">
        <v>53</v>
      </c>
      <c r="B27" s="33">
        <f>IF(ISERROR(TER_horeca_ele_kWh/1000),0,TER_horeca_ele_kWh/1000)</f>
        <v>1968.8145795939899</v>
      </c>
      <c r="C27" s="39">
        <f>IF(ISERROR(B27*3.6/1000000/'E Balans VL '!Z9*100),0,B27*3.6/1000000/'E Balans VL '!Z9*100)</f>
        <v>0.15308732379837237</v>
      </c>
      <c r="D27" s="239" t="s">
        <v>692</v>
      </c>
      <c r="F27" s="6"/>
    </row>
    <row r="28" spans="1:18">
      <c r="A28" s="173" t="s">
        <v>52</v>
      </c>
      <c r="B28" s="33">
        <f>IF(ISERROR(TER_handel_ele_kWh/1000),0,TER_handel_ele_kWh/1000)</f>
        <v>5160.3323004244503</v>
      </c>
      <c r="C28" s="39">
        <f>IF(ISERROR(B28*3.6/1000000/'E Balans VL '!Z13*100),0,B28*3.6/1000000/'E Balans VL '!Z13*100)</f>
        <v>0.14764318021873771</v>
      </c>
      <c r="D28" s="239" t="s">
        <v>692</v>
      </c>
      <c r="F28" s="6"/>
    </row>
    <row r="29" spans="1:18">
      <c r="A29" s="233" t="s">
        <v>51</v>
      </c>
      <c r="B29" s="33">
        <f>IF(ISERROR(TER_gezond_ele_kWh/1000),0,TER_gezond_ele_kWh/1000)</f>
        <v>331.68309106291599</v>
      </c>
      <c r="C29" s="39">
        <f>IF(ISERROR(B29*3.6/1000000/'E Balans VL '!Z10*100),0,B29*3.6/1000000/'E Balans VL '!Z10*100)</f>
        <v>3.6161164316532705E-2</v>
      </c>
      <c r="D29" s="239" t="s">
        <v>692</v>
      </c>
      <c r="F29" s="6"/>
    </row>
    <row r="30" spans="1:18">
      <c r="A30" s="233" t="s">
        <v>50</v>
      </c>
      <c r="B30" s="33">
        <f>IF(ISERROR(TER_ander_ele_kWh/1000),0,TER_ander_ele_kWh/1000)</f>
        <v>2528.60618465892</v>
      </c>
      <c r="C30" s="39">
        <f>IF(ISERROR(B30*3.6/1000000/'E Balans VL '!Z14*100),0,B30*3.6/1000000/'E Balans VL '!Z14*100)</f>
        <v>0.18503766458618445</v>
      </c>
      <c r="D30" s="239" t="s">
        <v>692</v>
      </c>
      <c r="F30" s="6"/>
    </row>
    <row r="31" spans="1:18">
      <c r="A31" s="233" t="s">
        <v>55</v>
      </c>
      <c r="B31" s="33">
        <f>IF(ISERROR(TER_onderwijs_ele_kWh/1000),0,TER_onderwijs_ele_kWh/1000)</f>
        <v>33.572132676847495</v>
      </c>
      <c r="C31" s="39">
        <f>IF(ISERROR(B31*3.6/1000000/'E Balans VL '!Z11*100),0,B31*3.6/1000000/'E Balans VL '!Z11*100)</f>
        <v>6.7429877781231039E-3</v>
      </c>
      <c r="D31" s="239" t="s">
        <v>692</v>
      </c>
    </row>
    <row r="32" spans="1:18">
      <c r="A32" s="233" t="s">
        <v>260</v>
      </c>
      <c r="B32" s="33">
        <f>IF(ISERROR(TER_rest_ele_kWh/1000),0,TER_rest_ele_kWh/1000)</f>
        <v>5305.0643361293005</v>
      </c>
      <c r="C32" s="39">
        <f>IF(ISERROR(B32*3.6/1000000/'E Balans VL '!Z8*100),0,B32*3.6/1000000/'E Balans VL '!Z8*100)</f>
        <v>4.3233054859487377E-2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17235.21733195283</v>
      </c>
      <c r="C5" s="17">
        <f>IF(ISERROR('Eigen informatie GS &amp; warmtenet'!B59),0,'Eigen informatie GS &amp; warmtenet'!B59)</f>
        <v>0</v>
      </c>
      <c r="D5" s="30">
        <f>SUM(D6:D15)</f>
        <v>5333.2620319788493</v>
      </c>
      <c r="E5" s="17">
        <f>SUM(E6:E15)</f>
        <v>1162.4483347829782</v>
      </c>
      <c r="F5" s="17">
        <f>SUM(F6:F15)</f>
        <v>6223.2729798910204</v>
      </c>
      <c r="G5" s="18"/>
      <c r="H5" s="17"/>
      <c r="I5" s="17"/>
      <c r="J5" s="17">
        <f>SUM(J6:J15)</f>
        <v>30.875119182007992</v>
      </c>
      <c r="K5" s="17"/>
      <c r="L5" s="17"/>
      <c r="M5" s="17"/>
      <c r="N5" s="17">
        <f>SUM(N6:N15)</f>
        <v>3185.2384808342695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2838.0458860979697</v>
      </c>
      <c r="C8" s="33"/>
      <c r="D8" s="37">
        <f>IF( ISERROR(IND_metaal_Gas_kWH/1000),0,IND_metaal_Gas_kWH/1000)*0.902</f>
        <v>648.56714414872454</v>
      </c>
      <c r="E8" s="33">
        <f>C30*'E Balans VL '!I18/100/3.6*1000000</f>
        <v>81.51933056613008</v>
      </c>
      <c r="F8" s="33">
        <f>C30*'E Balans VL '!L18/100/3.6*1000000+C30*'E Balans VL '!N18/100/3.6*1000000</f>
        <v>727.90418631747946</v>
      </c>
      <c r="G8" s="34"/>
      <c r="H8" s="33"/>
      <c r="I8" s="33"/>
      <c r="J8" s="40">
        <f>C30*'E Balans VL '!D18/100/3.6*1000000+C30*'E Balans VL '!E18/100/3.6*1000000</f>
        <v>0</v>
      </c>
      <c r="K8" s="33"/>
      <c r="L8" s="33"/>
      <c r="M8" s="33"/>
      <c r="N8" s="33">
        <f>C30*'E Balans VL '!Y18/100/3.6*1000000</f>
        <v>77.058739079991028</v>
      </c>
      <c r="O8" s="33"/>
      <c r="P8" s="33"/>
      <c r="R8" s="32"/>
    </row>
    <row r="9" spans="1:18">
      <c r="A9" s="6" t="s">
        <v>33</v>
      </c>
      <c r="B9" s="37">
        <f t="shared" si="0"/>
        <v>1159.25411337634</v>
      </c>
      <c r="C9" s="33"/>
      <c r="D9" s="37">
        <f>IF( ISERROR(IND_andere_gas_kWh/1000),0,IND_andere_gas_kWh/1000)*0.902</f>
        <v>391.9956544687073</v>
      </c>
      <c r="E9" s="33">
        <f>C31*'E Balans VL '!I19/100/3.6*1000000</f>
        <v>313.78158586320279</v>
      </c>
      <c r="F9" s="33">
        <f>C31*'E Balans VL '!L19/100/3.6*1000000+C31*'E Balans VL '!N19/100/3.6*1000000</f>
        <v>772.18591421938868</v>
      </c>
      <c r="G9" s="34"/>
      <c r="H9" s="33"/>
      <c r="I9" s="33"/>
      <c r="J9" s="40">
        <f>C31*'E Balans VL '!D19/100/3.6*1000000+C31*'E Balans VL '!E19/100/3.6*1000000</f>
        <v>0</v>
      </c>
      <c r="K9" s="33"/>
      <c r="L9" s="33"/>
      <c r="M9" s="33"/>
      <c r="N9" s="33">
        <f>C31*'E Balans VL '!Y19/100/3.6*1000000</f>
        <v>378.47721115795275</v>
      </c>
      <c r="O9" s="33"/>
      <c r="P9" s="33"/>
      <c r="R9" s="32"/>
    </row>
    <row r="10" spans="1:18">
      <c r="A10" s="6" t="s">
        <v>41</v>
      </c>
      <c r="B10" s="37">
        <f t="shared" si="0"/>
        <v>1275.5226847597801</v>
      </c>
      <c r="C10" s="33"/>
      <c r="D10" s="37">
        <f>IF( ISERROR(IND_voed_gas_kWh/1000),0,IND_voed_gas_kWh/1000)*0.902</f>
        <v>1187.1121335587984</v>
      </c>
      <c r="E10" s="33">
        <f>C32*'E Balans VL '!I20/100/3.6*1000000</f>
        <v>104.03456060612194</v>
      </c>
      <c r="F10" s="33">
        <f>C32*'E Balans VL '!L20/100/3.6*1000000+C32*'E Balans VL '!N20/100/3.6*1000000</f>
        <v>1901.9200485348158</v>
      </c>
      <c r="G10" s="34"/>
      <c r="H10" s="33"/>
      <c r="I10" s="33"/>
      <c r="J10" s="40">
        <f>C32*'E Balans VL '!D20/100/3.6*1000000+C32*'E Balans VL '!E20/100/3.6*1000000</f>
        <v>1.6873616842534873E-2</v>
      </c>
      <c r="K10" s="33"/>
      <c r="L10" s="33"/>
      <c r="M10" s="33"/>
      <c r="N10" s="33">
        <f>C32*'E Balans VL '!Y20/100/3.6*1000000</f>
        <v>374.70355644003138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77.517313259988001</v>
      </c>
      <c r="C12" s="33"/>
      <c r="D12" s="37">
        <f>IF( ISERROR(IND_min_gas_kWh/1000),0,IND_min_gas_kWh/1000)*0.902</f>
        <v>0</v>
      </c>
      <c r="E12" s="33">
        <f>C34*'E Balans VL '!I22/100/3.6*1000000</f>
        <v>0.60384297999169201</v>
      </c>
      <c r="F12" s="33">
        <f>C34*'E Balans VL '!L22/100/3.6*1000000+C34*'E Balans VL '!N22/100/3.6*1000000</f>
        <v>29.234766977277086</v>
      </c>
      <c r="G12" s="34"/>
      <c r="H12" s="33"/>
      <c r="I12" s="33"/>
      <c r="J12" s="40">
        <f>C34*'E Balans VL '!D22/100/3.6*1000000+C34*'E Balans VL '!E22/100/3.6*1000000</f>
        <v>0.4263384453643087</v>
      </c>
      <c r="K12" s="33"/>
      <c r="L12" s="33"/>
      <c r="M12" s="33"/>
      <c r="N12" s="33">
        <f>C34*'E Balans VL '!Y22/100/3.6*1000000</f>
        <v>0</v>
      </c>
      <c r="O12" s="33"/>
      <c r="P12" s="33"/>
      <c r="R12" s="32"/>
    </row>
    <row r="13" spans="1:18">
      <c r="A13" s="6" t="s">
        <v>39</v>
      </c>
      <c r="B13" s="37">
        <f t="shared" si="0"/>
        <v>11.619255886249301</v>
      </c>
      <c r="C13" s="33"/>
      <c r="D13" s="37">
        <f>IF( ISERROR(IND_papier_gas_kWh/1000),0,IND_papier_gas_kWh/1000)*0.902</f>
        <v>0</v>
      </c>
      <c r="E13" s="33">
        <f>C35*'E Balans VL '!I23/100/3.6*1000000</f>
        <v>0.12173287310937457</v>
      </c>
      <c r="F13" s="33">
        <f>C35*'E Balans VL '!L23/100/3.6*1000000+C35*'E Balans VL '!N23/100/3.6*1000000</f>
        <v>0.86703093369893502</v>
      </c>
      <c r="G13" s="34"/>
      <c r="H13" s="33"/>
      <c r="I13" s="33"/>
      <c r="J13" s="40">
        <f>C35*'E Balans VL '!D23/100/3.6*1000000+C35*'E Balans VL '!E23/100/3.6*1000000</f>
        <v>0</v>
      </c>
      <c r="K13" s="33"/>
      <c r="L13" s="33"/>
      <c r="M13" s="33"/>
      <c r="N13" s="33">
        <f>C35*'E Balans VL '!Y23/100/3.6*1000000</f>
        <v>24.834946675777555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11873.2580785725</v>
      </c>
      <c r="C15" s="33"/>
      <c r="D15" s="37">
        <f>IF( ISERROR(IND_rest_gas_kWh/1000),0,IND_rest_gas_kWh/1000)*0.902</f>
        <v>3105.5870998026198</v>
      </c>
      <c r="E15" s="33">
        <f>C37*'E Balans VL '!I15/100/3.6*1000000</f>
        <v>662.38728189442247</v>
      </c>
      <c r="F15" s="33">
        <f>C37*'E Balans VL '!L15/100/3.6*1000000+C37*'E Balans VL '!N15/100/3.6*1000000</f>
        <v>2791.1610329083605</v>
      </c>
      <c r="G15" s="34"/>
      <c r="H15" s="33"/>
      <c r="I15" s="33"/>
      <c r="J15" s="40">
        <f>C37*'E Balans VL '!D15/100/3.6*1000000+C37*'E Balans VL '!E15/100/3.6*1000000</f>
        <v>30.431907119801149</v>
      </c>
      <c r="K15" s="33"/>
      <c r="L15" s="33"/>
      <c r="M15" s="33"/>
      <c r="N15" s="33">
        <f>C37*'E Balans VL '!Y15/100/3.6*1000000</f>
        <v>2330.1640274805168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17235.21733195283</v>
      </c>
      <c r="C18" s="21">
        <f>C5+C16</f>
        <v>0</v>
      </c>
      <c r="D18" s="21">
        <f>MAX((D5+D16),0)</f>
        <v>5333.2620319788493</v>
      </c>
      <c r="E18" s="21">
        <f>MAX((E5+E16),0)</f>
        <v>1162.4483347829782</v>
      </c>
      <c r="F18" s="21">
        <f>MAX((F5+F16),0)</f>
        <v>6223.2729798910204</v>
      </c>
      <c r="G18" s="21"/>
      <c r="H18" s="21"/>
      <c r="I18" s="21"/>
      <c r="J18" s="21">
        <f>MAX((J5+J16),0)</f>
        <v>30.875119182007992</v>
      </c>
      <c r="K18" s="21"/>
      <c r="L18" s="21">
        <f>MAX((L5+L16),0)</f>
        <v>0</v>
      </c>
      <c r="M18" s="21"/>
      <c r="N18" s="21">
        <f>MAX((N5+N16),0)</f>
        <v>3185.2384808342695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0.19414489917445182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3346.1295311617469</v>
      </c>
      <c r="C22" s="23">
        <f ca="1">C18*C20</f>
        <v>0</v>
      </c>
      <c r="D22" s="23">
        <f>D18*D20</f>
        <v>1077.3189304597277</v>
      </c>
      <c r="E22" s="23">
        <f>E18*E20</f>
        <v>263.87577199573605</v>
      </c>
      <c r="F22" s="23">
        <f>F18*F20</f>
        <v>1661.6138856309026</v>
      </c>
      <c r="G22" s="23"/>
      <c r="H22" s="23"/>
      <c r="I22" s="23"/>
      <c r="J22" s="23">
        <f>J18*J20</f>
        <v>10.929792190430829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2838.0458860979697</v>
      </c>
      <c r="C30" s="39">
        <f>IF(ISERROR(B30*3.6/1000000/'E Balans VL '!Z18*100),0,B30*3.6/1000000/'E Balans VL '!Z18*100)</f>
        <v>0.2792564704326414</v>
      </c>
      <c r="D30" s="239" t="s">
        <v>692</v>
      </c>
    </row>
    <row r="31" spans="1:18">
      <c r="A31" s="6" t="s">
        <v>33</v>
      </c>
      <c r="B31" s="37">
        <f>IF( ISERROR(IND_ander_ele_kWh/1000),0,IND_ander_ele_kWh/1000)</f>
        <v>1159.25411337634</v>
      </c>
      <c r="C31" s="39">
        <f>IF(ISERROR(B31*3.6/1000000/'E Balans VL '!Z19*100),0,B31*3.6/1000000/'E Balans VL '!Z19*100)</f>
        <v>5.0484591909642544E-2</v>
      </c>
      <c r="D31" s="239" t="s">
        <v>692</v>
      </c>
    </row>
    <row r="32" spans="1:18">
      <c r="A32" s="173" t="s">
        <v>41</v>
      </c>
      <c r="B32" s="37">
        <f>IF( ISERROR(IND_voed_ele_kWh/1000),0,IND_voed_ele_kWh/1000)</f>
        <v>1275.5226847597801</v>
      </c>
      <c r="C32" s="39">
        <f>IF(ISERROR(B32*3.6/1000000/'E Balans VL '!Z20*100),0,B32*3.6/1000000/'E Balans VL '!Z20*100)</f>
        <v>0.24201203439491295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77.517313259988001</v>
      </c>
      <c r="C34" s="39">
        <f>IF(ISERROR(B34*3.6/1000000/'E Balans VL '!Z22*100),0,B34*3.6/1000000/'E Balans VL '!Z22*100)</f>
        <v>1.0899712648951483E-2</v>
      </c>
      <c r="D34" s="239" t="s">
        <v>692</v>
      </c>
    </row>
    <row r="35" spans="1:5">
      <c r="A35" s="173" t="s">
        <v>39</v>
      </c>
      <c r="B35" s="37">
        <f>IF( ISERROR(IND_papier_ele_kWh/1000),0,IND_papier_ele_kWh/1000)</f>
        <v>11.619255886249301</v>
      </c>
      <c r="C35" s="39">
        <f>IF(ISERROR(B35*3.6/1000000/'E Balans VL '!Z22*100),0,B35*3.6/1000000/'E Balans VL '!Z22*100)</f>
        <v>1.6337840545374842E-3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11873.2580785725</v>
      </c>
      <c r="C37" s="39">
        <f>IF(ISERROR(B37*3.6/1000000/'E Balans VL '!Z15*100),0,B37*3.6/1000000/'E Balans VL '!Z15*100)</f>
        <v>9.1498036862369847E-2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1660.1816258621448</v>
      </c>
      <c r="C5" s="17">
        <f>'Eigen informatie GS &amp; warmtenet'!B60</f>
        <v>0</v>
      </c>
      <c r="D5" s="30">
        <f>IF(ISERROR(SUM(LB_lb_gas_kWh,LB_rest_gas_kWh)/1000),0,SUM(LB_lb_gas_kWh,LB_rest_gas_kWh)/1000)*0.902</f>
        <v>74.74779189410512</v>
      </c>
      <c r="E5" s="17">
        <f>B17*'E Balans VL '!I25/3.6*1000000/100</f>
        <v>20.920427234648773</v>
      </c>
      <c r="F5" s="17">
        <f>B17*('E Balans VL '!L25/3.6*1000000+'E Balans VL '!N25/3.6*1000000)/100</f>
        <v>5728.0425095727433</v>
      </c>
      <c r="G5" s="18"/>
      <c r="H5" s="17"/>
      <c r="I5" s="17"/>
      <c r="J5" s="17">
        <f>('E Balans VL '!D25+'E Balans VL '!E25)/3.6*1000000*landbouw!B17/100</f>
        <v>249.6724442510085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1660.1816258621448</v>
      </c>
      <c r="C8" s="21">
        <f>C5+C6</f>
        <v>0</v>
      </c>
      <c r="D8" s="21">
        <f>MAX((D5+D6),0)</f>
        <v>74.74779189410512</v>
      </c>
      <c r="E8" s="21">
        <f>MAX((E5+E6),0)</f>
        <v>20.920427234648773</v>
      </c>
      <c r="F8" s="21">
        <f>MAX((F5+F6),0)</f>
        <v>5728.0425095727433</v>
      </c>
      <c r="G8" s="21"/>
      <c r="H8" s="21"/>
      <c r="I8" s="21"/>
      <c r="J8" s="21">
        <f>MAX((J5+J6),0)</f>
        <v>249.6724442510085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0.19414489917445182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322.31579436428359</v>
      </c>
      <c r="C12" s="23">
        <f ca="1">C8*C10</f>
        <v>0</v>
      </c>
      <c r="D12" s="23">
        <f>D8*D10</f>
        <v>15.099053962609235</v>
      </c>
      <c r="E12" s="23">
        <f>E8*E10</f>
        <v>4.7489369822652714</v>
      </c>
      <c r="F12" s="23">
        <f>F8*F10</f>
        <v>1529.3873500559225</v>
      </c>
      <c r="G12" s="23"/>
      <c r="H12" s="23"/>
      <c r="I12" s="23"/>
      <c r="J12" s="23">
        <f>J8*J10</f>
        <v>88.384045264857008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0.23154301092024621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177.04253949520529</v>
      </c>
      <c r="C26" s="249">
        <f>B26*'GWP N2O_CH4'!B5</f>
        <v>3717.8933293993109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131.98938407162504</v>
      </c>
      <c r="C27" s="249">
        <f>B27*'GWP N2O_CH4'!B5</f>
        <v>2771.7770655041259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3.6289828584531438</v>
      </c>
      <c r="C28" s="249">
        <f>B28*'GWP N2O_CH4'!B4</f>
        <v>1124.9846861204746</v>
      </c>
      <c r="D28" s="50"/>
    </row>
    <row r="29" spans="1:4">
      <c r="A29" s="41" t="s">
        <v>277</v>
      </c>
      <c r="B29" s="249">
        <f>B34*'ha_N2O bodem landbouw'!B4</f>
        <v>16.732157253300873</v>
      </c>
      <c r="C29" s="249">
        <f>B29*'GWP N2O_CH4'!B4</f>
        <v>5186.9687485232707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4.1778524737675782E-3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1.8904204815285765E-5</v>
      </c>
      <c r="C5" s="448" t="s">
        <v>211</v>
      </c>
      <c r="D5" s="433">
        <f>SUM(D6:D11)</f>
        <v>3.0251205723227355E-5</v>
      </c>
      <c r="E5" s="433">
        <f>SUM(E6:E11)</f>
        <v>9.304303021064077E-4</v>
      </c>
      <c r="F5" s="446" t="s">
        <v>211</v>
      </c>
      <c r="G5" s="433">
        <f>SUM(G6:G11)</f>
        <v>0.19472263036458706</v>
      </c>
      <c r="H5" s="433">
        <f>SUM(H6:H11)</f>
        <v>4.5345314075761638E-2</v>
      </c>
      <c r="I5" s="448" t="s">
        <v>211</v>
      </c>
      <c r="J5" s="448" t="s">
        <v>211</v>
      </c>
      <c r="K5" s="448" t="s">
        <v>211</v>
      </c>
      <c r="L5" s="448" t="s">
        <v>211</v>
      </c>
      <c r="M5" s="433">
        <f>SUM(M6:M11)</f>
        <v>1.0858059696696344E-2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1.5760715337469724E-5</v>
      </c>
      <c r="C6" s="887"/>
      <c r="D6" s="887">
        <f>vkm_2011_GW_PW*SUMIFS(TableVerdeelsleutelVkm[CNG],TableVerdeelsleutelVkm[Voertuigtype],"Lichte voertuigen")*SUMIFS(TableECFTransport[EnergieConsumptieFactor (PJ per km)],TableECFTransport[Index],CONCATENATE($A6,"_CNG_CNG"))</f>
        <v>2.232025540824694E-5</v>
      </c>
      <c r="E6" s="887">
        <f>vkm_2011_GW_PW*SUMIFS(TableVerdeelsleutelVkm[LPG],TableVerdeelsleutelVkm[Voertuigtype],"Lichte voertuigen")*SUMIFS(TableECFTransport[EnergieConsumptieFactor (PJ per km)],TableECFTransport[Index],CONCATENATE($A6,"_LPG_LPG"))</f>
        <v>7.0100574215233946E-4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0.12598992683151186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3.3760014685365852E-2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7.2275977991613869E-3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2.687271347631958E-2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9.5475965150981661E-6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1.2126805129141465E-3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3.1434894778160403E-6</v>
      </c>
      <c r="C8" s="887"/>
      <c r="D8" s="436">
        <f>vkm_2011_NGW_PW*SUMIFS(TableVerdeelsleutelVkm[CNG],TableVerdeelsleutelVkm[Voertuigtype],"Lichte voertuigen")*SUMIFS(TableECFTransport[EnergieConsumptieFactor (PJ per km)],TableECFTransport[Index],CONCATENATE($A8,"_CNG_CNG"))</f>
        <v>7.9309503149804152E-6</v>
      </c>
      <c r="E8" s="436">
        <f>vkm_2011_NGW_PW*SUMIFS(TableVerdeelsleutelVkm[LPG],TableVerdeelsleutelVkm[Voertuigtype],"Lichte voertuigen")*SUMIFS(TableECFTransport[EnergieConsumptieFactor (PJ per km)],TableECFTransport[Index],CONCATENATE($A8,"_LPG_LPG"))</f>
        <v>2.2942455995406818E-4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3.8889687641391668E-2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1.1574753156299066E-2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2.2837436294123846E-3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2.9703024153639327E-3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9.9863758161975697E-7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1.3403775520842736E-4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5.251168004246046</v>
      </c>
      <c r="C14" s="21"/>
      <c r="D14" s="21">
        <f t="shared" ref="D14:M14" si="0">((D5)*10^9/3600)+D12</f>
        <v>8.4031127008964877</v>
      </c>
      <c r="E14" s="21">
        <f t="shared" si="0"/>
        <v>258.45286169622437</v>
      </c>
      <c r="F14" s="21"/>
      <c r="G14" s="21">
        <f t="shared" si="0"/>
        <v>54089.619545718633</v>
      </c>
      <c r="H14" s="21">
        <f t="shared" si="0"/>
        <v>12595.920576600454</v>
      </c>
      <c r="I14" s="21"/>
      <c r="J14" s="21"/>
      <c r="K14" s="21"/>
      <c r="L14" s="21"/>
      <c r="M14" s="21">
        <f t="shared" si="0"/>
        <v>3016.1276935267624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0.19414489917445182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1.019487482732456</v>
      </c>
      <c r="C18" s="23"/>
      <c r="D18" s="23">
        <f t="shared" ref="D18:M18" si="1">D14*D16</f>
        <v>1.6974287655810907</v>
      </c>
      <c r="E18" s="23">
        <f t="shared" si="1"/>
        <v>58.668799605042935</v>
      </c>
      <c r="F18" s="23"/>
      <c r="G18" s="23">
        <f t="shared" si="1"/>
        <v>14441.928418706875</v>
      </c>
      <c r="H18" s="23">
        <f t="shared" si="1"/>
        <v>3136.3842235735133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2.7184197588628143E-3</v>
      </c>
      <c r="H50" s="323">
        <f t="shared" si="2"/>
        <v>0</v>
      </c>
      <c r="I50" s="323">
        <f t="shared" si="2"/>
        <v>0</v>
      </c>
      <c r="J50" s="323">
        <f t="shared" si="2"/>
        <v>0</v>
      </c>
      <c r="K50" s="323">
        <f t="shared" si="2"/>
        <v>0</v>
      </c>
      <c r="L50" s="323">
        <f t="shared" si="2"/>
        <v>0</v>
      </c>
      <c r="M50" s="323">
        <f t="shared" si="2"/>
        <v>1.2089477570404088E-4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2.7184197588628143E-3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1.2089477570404088E-4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755.11659968411516</v>
      </c>
      <c r="H54" s="21">
        <f t="shared" si="3"/>
        <v>0</v>
      </c>
      <c r="I54" s="21">
        <f t="shared" si="3"/>
        <v>0</v>
      </c>
      <c r="J54" s="21">
        <f t="shared" si="3"/>
        <v>0</v>
      </c>
      <c r="K54" s="21">
        <f t="shared" si="3"/>
        <v>0</v>
      </c>
      <c r="L54" s="21">
        <f t="shared" si="3"/>
        <v>0</v>
      </c>
      <c r="M54" s="21">
        <f t="shared" si="3"/>
        <v>33.581882140011352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0.19414489917445182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201.61613211565876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18766.990522478543</v>
      </c>
      <c r="D10" s="690">
        <f ca="1">tertiair!C16</f>
        <v>0</v>
      </c>
      <c r="E10" s="690">
        <f ca="1">tertiair!D16</f>
        <v>10970.036009033291</v>
      </c>
      <c r="F10" s="690">
        <f>tertiair!E16</f>
        <v>269.80225287859435</v>
      </c>
      <c r="G10" s="690">
        <f ca="1">tertiair!F16</f>
        <v>3657.1114803419623</v>
      </c>
      <c r="H10" s="690">
        <f>tertiair!G16</f>
        <v>0</v>
      </c>
      <c r="I10" s="690">
        <f>tertiair!H16</f>
        <v>0</v>
      </c>
      <c r="J10" s="690">
        <f>tertiair!I16</f>
        <v>0</v>
      </c>
      <c r="K10" s="690">
        <f>tertiair!J16</f>
        <v>0</v>
      </c>
      <c r="L10" s="690">
        <f>tertiair!K16</f>
        <v>0</v>
      </c>
      <c r="M10" s="690">
        <f ca="1">tertiair!L16</f>
        <v>0</v>
      </c>
      <c r="N10" s="690">
        <f>tertiair!M16</f>
        <v>0</v>
      </c>
      <c r="O10" s="690">
        <f ca="1">tertiair!N16</f>
        <v>2201.7703941667983</v>
      </c>
      <c r="P10" s="690">
        <f>tertiair!O16</f>
        <v>3.1266666666666669</v>
      </c>
      <c r="Q10" s="691">
        <f>tertiair!P16</f>
        <v>19.066666666666666</v>
      </c>
      <c r="R10" s="693">
        <f ca="1">SUM(C10:Q10)</f>
        <v>35887.903992232517</v>
      </c>
      <c r="S10" s="67"/>
    </row>
    <row r="11" spans="1:19" s="458" customFormat="1">
      <c r="A11" s="805" t="s">
        <v>225</v>
      </c>
      <c r="B11" s="810"/>
      <c r="C11" s="690">
        <f>huishoudens!B8</f>
        <v>42944.351281907002</v>
      </c>
      <c r="D11" s="690">
        <f>huishoudens!C8</f>
        <v>0</v>
      </c>
      <c r="E11" s="690">
        <f>huishoudens!D8</f>
        <v>54557.217359297516</v>
      </c>
      <c r="F11" s="690">
        <f>huishoudens!E8</f>
        <v>4605.6938008908501</v>
      </c>
      <c r="G11" s="690">
        <f>huishoudens!F8</f>
        <v>85687.11923745113</v>
      </c>
      <c r="H11" s="690">
        <f>huishoudens!G8</f>
        <v>0</v>
      </c>
      <c r="I11" s="690">
        <f>huishoudens!H8</f>
        <v>0</v>
      </c>
      <c r="J11" s="690">
        <f>huishoudens!I8</f>
        <v>0</v>
      </c>
      <c r="K11" s="690">
        <f>huishoudens!J8</f>
        <v>1033.3500935442776</v>
      </c>
      <c r="L11" s="690">
        <f>huishoudens!K8</f>
        <v>0</v>
      </c>
      <c r="M11" s="690">
        <f>huishoudens!L8</f>
        <v>0</v>
      </c>
      <c r="N11" s="690">
        <f>huishoudens!M8</f>
        <v>0</v>
      </c>
      <c r="O11" s="690">
        <f>huishoudens!N8</f>
        <v>29454.46678247919</v>
      </c>
      <c r="P11" s="690">
        <f>huishoudens!O8</f>
        <v>589.37666666666667</v>
      </c>
      <c r="Q11" s="691">
        <f>huishoudens!P8</f>
        <v>1620.6666666666665</v>
      </c>
      <c r="R11" s="693">
        <f>SUM(C11:Q11)</f>
        <v>220492.24188890331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17235.21733195283</v>
      </c>
      <c r="D13" s="690">
        <f>industrie!C18</f>
        <v>0</v>
      </c>
      <c r="E13" s="690">
        <f>industrie!D18</f>
        <v>5333.2620319788493</v>
      </c>
      <c r="F13" s="690">
        <f>industrie!E18</f>
        <v>1162.4483347829782</v>
      </c>
      <c r="G13" s="690">
        <f>industrie!F18</f>
        <v>6223.2729798910204</v>
      </c>
      <c r="H13" s="690">
        <f>industrie!G18</f>
        <v>0</v>
      </c>
      <c r="I13" s="690">
        <f>industrie!H18</f>
        <v>0</v>
      </c>
      <c r="J13" s="690">
        <f>industrie!I18</f>
        <v>0</v>
      </c>
      <c r="K13" s="690">
        <f>industrie!J18</f>
        <v>30.875119182007992</v>
      </c>
      <c r="L13" s="690">
        <f>industrie!K18</f>
        <v>0</v>
      </c>
      <c r="M13" s="690">
        <f>industrie!L18</f>
        <v>0</v>
      </c>
      <c r="N13" s="690">
        <f>industrie!M18</f>
        <v>0</v>
      </c>
      <c r="O13" s="690">
        <f>industrie!N18</f>
        <v>3185.2384808342695</v>
      </c>
      <c r="P13" s="690">
        <f>industrie!O18</f>
        <v>0</v>
      </c>
      <c r="Q13" s="691">
        <f>industrie!P18</f>
        <v>0</v>
      </c>
      <c r="R13" s="693">
        <f>SUM(C13:Q13)</f>
        <v>33170.314278621954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78946.559136338386</v>
      </c>
      <c r="D16" s="725">
        <f t="shared" ref="D16:R16" ca="1" si="0">SUM(D9:D15)</f>
        <v>0</v>
      </c>
      <c r="E16" s="725">
        <f t="shared" ca="1" si="0"/>
        <v>70860.515400309654</v>
      </c>
      <c r="F16" s="725">
        <f t="shared" si="0"/>
        <v>6037.9443885524224</v>
      </c>
      <c r="G16" s="725">
        <f t="shared" ca="1" si="0"/>
        <v>95567.503697684107</v>
      </c>
      <c r="H16" s="725">
        <f t="shared" si="0"/>
        <v>0</v>
      </c>
      <c r="I16" s="725">
        <f t="shared" si="0"/>
        <v>0</v>
      </c>
      <c r="J16" s="725">
        <f t="shared" si="0"/>
        <v>0</v>
      </c>
      <c r="K16" s="725">
        <f t="shared" si="0"/>
        <v>1064.2252127262855</v>
      </c>
      <c r="L16" s="725">
        <f t="shared" si="0"/>
        <v>0</v>
      </c>
      <c r="M16" s="725">
        <f t="shared" ca="1" si="0"/>
        <v>0</v>
      </c>
      <c r="N16" s="725">
        <f t="shared" si="0"/>
        <v>0</v>
      </c>
      <c r="O16" s="725">
        <f t="shared" ca="1" si="0"/>
        <v>34841.47565748026</v>
      </c>
      <c r="P16" s="725">
        <f t="shared" si="0"/>
        <v>592.50333333333333</v>
      </c>
      <c r="Q16" s="725">
        <f t="shared" si="0"/>
        <v>1639.7333333333331</v>
      </c>
      <c r="R16" s="725">
        <f t="shared" ca="1" si="0"/>
        <v>289550.46015975776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755.11659968411516</v>
      </c>
      <c r="I19" s="690">
        <f>transport!H54</f>
        <v>0</v>
      </c>
      <c r="J19" s="690">
        <f>transport!I54</f>
        <v>0</v>
      </c>
      <c r="K19" s="690">
        <f>transport!J54</f>
        <v>0</v>
      </c>
      <c r="L19" s="690">
        <f>transport!K54</f>
        <v>0</v>
      </c>
      <c r="M19" s="690">
        <f>transport!L54</f>
        <v>0</v>
      </c>
      <c r="N19" s="690">
        <f>transport!M54</f>
        <v>33.581882140011352</v>
      </c>
      <c r="O19" s="690">
        <f>transport!N54</f>
        <v>0</v>
      </c>
      <c r="P19" s="690">
        <f>transport!O54</f>
        <v>0</v>
      </c>
      <c r="Q19" s="691">
        <f>transport!P54</f>
        <v>0</v>
      </c>
      <c r="R19" s="693">
        <f>SUM(C19:Q19)</f>
        <v>788.69848182412647</v>
      </c>
      <c r="S19" s="67"/>
    </row>
    <row r="20" spans="1:19" s="458" customFormat="1">
      <c r="A20" s="805" t="s">
        <v>307</v>
      </c>
      <c r="B20" s="810"/>
      <c r="C20" s="690">
        <f>transport!B14</f>
        <v>5.251168004246046</v>
      </c>
      <c r="D20" s="690">
        <f>transport!C14</f>
        <v>0</v>
      </c>
      <c r="E20" s="690">
        <f>transport!D14</f>
        <v>8.4031127008964877</v>
      </c>
      <c r="F20" s="690">
        <f>transport!E14</f>
        <v>258.45286169622437</v>
      </c>
      <c r="G20" s="690">
        <f>transport!F14</f>
        <v>0</v>
      </c>
      <c r="H20" s="690">
        <f>transport!G14</f>
        <v>54089.619545718633</v>
      </c>
      <c r="I20" s="690">
        <f>transport!H14</f>
        <v>12595.920576600454</v>
      </c>
      <c r="J20" s="690">
        <f>transport!I14</f>
        <v>0</v>
      </c>
      <c r="K20" s="690">
        <f>transport!J14</f>
        <v>0</v>
      </c>
      <c r="L20" s="690">
        <f>transport!K14</f>
        <v>0</v>
      </c>
      <c r="M20" s="690">
        <f>transport!L14</f>
        <v>0</v>
      </c>
      <c r="N20" s="690">
        <f>transport!M14</f>
        <v>3016.1276935267624</v>
      </c>
      <c r="O20" s="690">
        <f>transport!N14</f>
        <v>0</v>
      </c>
      <c r="P20" s="690">
        <f>transport!O14</f>
        <v>0</v>
      </c>
      <c r="Q20" s="691">
        <f>transport!P14</f>
        <v>0</v>
      </c>
      <c r="R20" s="693">
        <f>SUM(C20:Q20)</f>
        <v>69973.774958247217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5.251168004246046</v>
      </c>
      <c r="D22" s="808">
        <f t="shared" ref="D22:R22" si="1">SUM(D18:D21)</f>
        <v>0</v>
      </c>
      <c r="E22" s="808">
        <f t="shared" si="1"/>
        <v>8.4031127008964877</v>
      </c>
      <c r="F22" s="808">
        <f t="shared" si="1"/>
        <v>258.45286169622437</v>
      </c>
      <c r="G22" s="808">
        <f t="shared" si="1"/>
        <v>0</v>
      </c>
      <c r="H22" s="808">
        <f t="shared" si="1"/>
        <v>54844.736145402749</v>
      </c>
      <c r="I22" s="808">
        <f t="shared" si="1"/>
        <v>12595.920576600454</v>
      </c>
      <c r="J22" s="808">
        <f t="shared" si="1"/>
        <v>0</v>
      </c>
      <c r="K22" s="808">
        <f t="shared" si="1"/>
        <v>0</v>
      </c>
      <c r="L22" s="808">
        <f t="shared" si="1"/>
        <v>0</v>
      </c>
      <c r="M22" s="808">
        <f t="shared" si="1"/>
        <v>0</v>
      </c>
      <c r="N22" s="808">
        <f t="shared" si="1"/>
        <v>3049.7095756667736</v>
      </c>
      <c r="O22" s="808">
        <f t="shared" si="1"/>
        <v>0</v>
      </c>
      <c r="P22" s="808">
        <f t="shared" si="1"/>
        <v>0</v>
      </c>
      <c r="Q22" s="808">
        <f t="shared" si="1"/>
        <v>0</v>
      </c>
      <c r="R22" s="808">
        <f t="shared" si="1"/>
        <v>70762.47344007135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1660.1816258621448</v>
      </c>
      <c r="D24" s="690">
        <f>+landbouw!C8</f>
        <v>0</v>
      </c>
      <c r="E24" s="690">
        <f>+landbouw!D8</f>
        <v>74.74779189410512</v>
      </c>
      <c r="F24" s="690">
        <f>+landbouw!E8</f>
        <v>20.920427234648773</v>
      </c>
      <c r="G24" s="690">
        <f>+landbouw!F8</f>
        <v>5728.0425095727433</v>
      </c>
      <c r="H24" s="690">
        <f>+landbouw!G8</f>
        <v>0</v>
      </c>
      <c r="I24" s="690">
        <f>+landbouw!H8</f>
        <v>0</v>
      </c>
      <c r="J24" s="690">
        <f>+landbouw!I8</f>
        <v>0</v>
      </c>
      <c r="K24" s="690">
        <f>+landbouw!J8</f>
        <v>249.6724442510085</v>
      </c>
      <c r="L24" s="690">
        <f>+landbouw!K8</f>
        <v>0</v>
      </c>
      <c r="M24" s="690">
        <f>+landbouw!L8</f>
        <v>0</v>
      </c>
      <c r="N24" s="690">
        <f>+landbouw!M8</f>
        <v>0</v>
      </c>
      <c r="O24" s="690">
        <f>+landbouw!N8</f>
        <v>0</v>
      </c>
      <c r="P24" s="690">
        <f>+landbouw!O8</f>
        <v>0</v>
      </c>
      <c r="Q24" s="691">
        <f>+landbouw!P8</f>
        <v>0</v>
      </c>
      <c r="R24" s="693">
        <f>SUM(C24:Q24)</f>
        <v>7733.5647988146502</v>
      </c>
      <c r="S24" s="67"/>
    </row>
    <row r="25" spans="1:19" s="458" customFormat="1" ht="15" thickBot="1">
      <c r="A25" s="827" t="s">
        <v>872</v>
      </c>
      <c r="B25" s="1004"/>
      <c r="C25" s="1005">
        <f>IF(Onbekend_ele_kWh="---",0,Onbekend_ele_kWh)/1000+IF(REST_rest_ele_kWh="---",0,REST_rest_ele_kWh)/1000</f>
        <v>1133.9593980263398</v>
      </c>
      <c r="D25" s="1005"/>
      <c r="E25" s="1005">
        <f>IF(onbekend_gas_kWh="---",0,onbekend_gas_kWh)/1000+IF(REST_rest_gas_kWh="---",0,REST_rest_gas_kWh)/1000</f>
        <v>2144.63992247649</v>
      </c>
      <c r="F25" s="1005"/>
      <c r="G25" s="1005"/>
      <c r="H25" s="1005"/>
      <c r="I25" s="1005"/>
      <c r="J25" s="1005"/>
      <c r="K25" s="1005"/>
      <c r="L25" s="1005"/>
      <c r="M25" s="1005"/>
      <c r="N25" s="1005"/>
      <c r="O25" s="1005"/>
      <c r="P25" s="1005"/>
      <c r="Q25" s="1006"/>
      <c r="R25" s="693">
        <f>SUM(C25:Q25)</f>
        <v>3278.5993205028299</v>
      </c>
      <c r="S25" s="67"/>
    </row>
    <row r="26" spans="1:19" s="458" customFormat="1" ht="15.75" thickBot="1">
      <c r="A26" s="698" t="s">
        <v>873</v>
      </c>
      <c r="B26" s="813"/>
      <c r="C26" s="808">
        <f>SUM(C24:C25)</f>
        <v>2794.1410238884846</v>
      </c>
      <c r="D26" s="808">
        <f t="shared" ref="D26:R26" si="2">SUM(D24:D25)</f>
        <v>0</v>
      </c>
      <c r="E26" s="808">
        <f t="shared" si="2"/>
        <v>2219.3877143705949</v>
      </c>
      <c r="F26" s="808">
        <f t="shared" si="2"/>
        <v>20.920427234648773</v>
      </c>
      <c r="G26" s="808">
        <f t="shared" si="2"/>
        <v>5728.0425095727433</v>
      </c>
      <c r="H26" s="808">
        <f t="shared" si="2"/>
        <v>0</v>
      </c>
      <c r="I26" s="808">
        <f t="shared" si="2"/>
        <v>0</v>
      </c>
      <c r="J26" s="808">
        <f t="shared" si="2"/>
        <v>0</v>
      </c>
      <c r="K26" s="808">
        <f t="shared" si="2"/>
        <v>249.6724442510085</v>
      </c>
      <c r="L26" s="808">
        <f t="shared" si="2"/>
        <v>0</v>
      </c>
      <c r="M26" s="808">
        <f t="shared" si="2"/>
        <v>0</v>
      </c>
      <c r="N26" s="808">
        <f t="shared" si="2"/>
        <v>0</v>
      </c>
      <c r="O26" s="808">
        <f t="shared" si="2"/>
        <v>0</v>
      </c>
      <c r="P26" s="808">
        <f t="shared" si="2"/>
        <v>0</v>
      </c>
      <c r="Q26" s="808">
        <f t="shared" si="2"/>
        <v>0</v>
      </c>
      <c r="R26" s="808">
        <f t="shared" si="2"/>
        <v>11012.16411931748</v>
      </c>
      <c r="S26" s="67"/>
    </row>
    <row r="27" spans="1:19" s="458" customFormat="1" ht="17.25" thickTop="1" thickBot="1">
      <c r="A27" s="699" t="s">
        <v>116</v>
      </c>
      <c r="B27" s="800"/>
      <c r="C27" s="700">
        <f ca="1">C22+C16+C26</f>
        <v>81745.951328231124</v>
      </c>
      <c r="D27" s="700">
        <f t="shared" ref="D27:R27" ca="1" si="3">D22+D16+D26</f>
        <v>0</v>
      </c>
      <c r="E27" s="700">
        <f t="shared" ca="1" si="3"/>
        <v>73088.306227381137</v>
      </c>
      <c r="F27" s="700">
        <f t="shared" si="3"/>
        <v>6317.3176774832955</v>
      </c>
      <c r="G27" s="700">
        <f t="shared" ca="1" si="3"/>
        <v>101295.54620725685</v>
      </c>
      <c r="H27" s="700">
        <f t="shared" si="3"/>
        <v>54844.736145402749</v>
      </c>
      <c r="I27" s="700">
        <f t="shared" si="3"/>
        <v>12595.920576600454</v>
      </c>
      <c r="J27" s="700">
        <f t="shared" si="3"/>
        <v>0</v>
      </c>
      <c r="K27" s="700">
        <f t="shared" si="3"/>
        <v>1313.897656977294</v>
      </c>
      <c r="L27" s="700">
        <f t="shared" si="3"/>
        <v>0</v>
      </c>
      <c r="M27" s="700">
        <f t="shared" ca="1" si="3"/>
        <v>0</v>
      </c>
      <c r="N27" s="700">
        <f t="shared" si="3"/>
        <v>3049.7095756667736</v>
      </c>
      <c r="O27" s="700">
        <f t="shared" ca="1" si="3"/>
        <v>34841.47565748026</v>
      </c>
      <c r="P27" s="700">
        <f t="shared" si="3"/>
        <v>592.50333333333333</v>
      </c>
      <c r="Q27" s="700">
        <f t="shared" si="3"/>
        <v>1639.7333333333331</v>
      </c>
      <c r="R27" s="700">
        <f t="shared" ca="1" si="3"/>
        <v>371325.09771914658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3643.5154827944903</v>
      </c>
      <c r="D40" s="690">
        <f ca="1">tertiair!C20</f>
        <v>0</v>
      </c>
      <c r="E40" s="690">
        <f ca="1">tertiair!D20</f>
        <v>2215.947273824725</v>
      </c>
      <c r="F40" s="690">
        <f>tertiair!E20</f>
        <v>61.245111403440916</v>
      </c>
      <c r="G40" s="690">
        <f ca="1">tertiair!F20</f>
        <v>976.44876525130394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6897.1566332739603</v>
      </c>
    </row>
    <row r="41" spans="1:18">
      <c r="A41" s="818" t="s">
        <v>225</v>
      </c>
      <c r="B41" s="825"/>
      <c r="C41" s="690">
        <f ca="1">huishoudens!B12</f>
        <v>8337.4267497380752</v>
      </c>
      <c r="D41" s="690">
        <f ca="1">huishoudens!C12</f>
        <v>0</v>
      </c>
      <c r="E41" s="690">
        <f>huishoudens!D12</f>
        <v>11020.557906578098</v>
      </c>
      <c r="F41" s="690">
        <f>huishoudens!E12</f>
        <v>1045.4924928022231</v>
      </c>
      <c r="G41" s="690">
        <f>huishoudens!F12</f>
        <v>22878.460836399452</v>
      </c>
      <c r="H41" s="690">
        <f>huishoudens!G12</f>
        <v>0</v>
      </c>
      <c r="I41" s="690">
        <f>huishoudens!H12</f>
        <v>0</v>
      </c>
      <c r="J41" s="690">
        <f>huishoudens!I12</f>
        <v>0</v>
      </c>
      <c r="K41" s="690">
        <f>huishoudens!J12</f>
        <v>365.80593311467425</v>
      </c>
      <c r="L41" s="690">
        <f>huishoudens!K12</f>
        <v>0</v>
      </c>
      <c r="M41" s="690">
        <f>huishoudens!L12</f>
        <v>0</v>
      </c>
      <c r="N41" s="690">
        <f>huishoudens!M12</f>
        <v>0</v>
      </c>
      <c r="O41" s="690">
        <f>huishoudens!N12</f>
        <v>0</v>
      </c>
      <c r="P41" s="690">
        <f>huishoudens!O12</f>
        <v>0</v>
      </c>
      <c r="Q41" s="767">
        <f>huishoudens!P12</f>
        <v>0</v>
      </c>
      <c r="R41" s="846">
        <f t="shared" ca="1" si="4"/>
        <v>43647.743918632521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3346.1295311617469</v>
      </c>
      <c r="D43" s="690">
        <f ca="1">industrie!C22</f>
        <v>0</v>
      </c>
      <c r="E43" s="690">
        <f>industrie!D22</f>
        <v>1077.3189304597277</v>
      </c>
      <c r="F43" s="690">
        <f>industrie!E22</f>
        <v>263.87577199573605</v>
      </c>
      <c r="G43" s="690">
        <f>industrie!F22</f>
        <v>1661.6138856309026</v>
      </c>
      <c r="H43" s="690">
        <f>industrie!G22</f>
        <v>0</v>
      </c>
      <c r="I43" s="690">
        <f>industrie!H22</f>
        <v>0</v>
      </c>
      <c r="J43" s="690">
        <f>industrie!I22</f>
        <v>0</v>
      </c>
      <c r="K43" s="690">
        <f>industrie!J22</f>
        <v>10.929792190430829</v>
      </c>
      <c r="L43" s="690">
        <f>industrie!K22</f>
        <v>0</v>
      </c>
      <c r="M43" s="690">
        <f>industrie!L22</f>
        <v>0</v>
      </c>
      <c r="N43" s="690">
        <f>industrie!M22</f>
        <v>0</v>
      </c>
      <c r="O43" s="690">
        <f>industrie!N22</f>
        <v>0</v>
      </c>
      <c r="P43" s="690">
        <f>industrie!O22</f>
        <v>0</v>
      </c>
      <c r="Q43" s="767">
        <f>industrie!P22</f>
        <v>0</v>
      </c>
      <c r="R43" s="845">
        <f t="shared" ca="1" si="4"/>
        <v>6359.8679114385432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15327.071763694312</v>
      </c>
      <c r="D46" s="725">
        <f t="shared" ref="D46:Q46" ca="1" si="5">SUM(D39:D45)</f>
        <v>0</v>
      </c>
      <c r="E46" s="725">
        <f t="shared" ca="1" si="5"/>
        <v>14313.82411086255</v>
      </c>
      <c r="F46" s="725">
        <f t="shared" si="5"/>
        <v>1370.6133762014001</v>
      </c>
      <c r="G46" s="725">
        <f t="shared" ca="1" si="5"/>
        <v>25516.523487281658</v>
      </c>
      <c r="H46" s="725">
        <f t="shared" si="5"/>
        <v>0</v>
      </c>
      <c r="I46" s="725">
        <f t="shared" si="5"/>
        <v>0</v>
      </c>
      <c r="J46" s="725">
        <f t="shared" si="5"/>
        <v>0</v>
      </c>
      <c r="K46" s="725">
        <f t="shared" si="5"/>
        <v>376.73572530510506</v>
      </c>
      <c r="L46" s="725">
        <f t="shared" si="5"/>
        <v>0</v>
      </c>
      <c r="M46" s="725">
        <f t="shared" ca="1" si="5"/>
        <v>0</v>
      </c>
      <c r="N46" s="725">
        <f t="shared" si="5"/>
        <v>0</v>
      </c>
      <c r="O46" s="725">
        <f t="shared" ca="1" si="5"/>
        <v>0</v>
      </c>
      <c r="P46" s="725">
        <f t="shared" si="5"/>
        <v>0</v>
      </c>
      <c r="Q46" s="725">
        <f t="shared" si="5"/>
        <v>0</v>
      </c>
      <c r="R46" s="725">
        <f ca="1">SUM(R39:R45)</f>
        <v>56904.768463345026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201.61613211565876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201.61613211565876</v>
      </c>
    </row>
    <row r="50" spans="1:18">
      <c r="A50" s="821" t="s">
        <v>307</v>
      </c>
      <c r="B50" s="831"/>
      <c r="C50" s="696">
        <f ca="1">transport!B18</f>
        <v>1.019487482732456</v>
      </c>
      <c r="D50" s="696">
        <f>transport!C18</f>
        <v>0</v>
      </c>
      <c r="E50" s="696">
        <f>transport!D18</f>
        <v>1.6974287655810907</v>
      </c>
      <c r="F50" s="696">
        <f>transport!E18</f>
        <v>58.668799605042935</v>
      </c>
      <c r="G50" s="696">
        <f>transport!F18</f>
        <v>0</v>
      </c>
      <c r="H50" s="696">
        <f>transport!G18</f>
        <v>14441.928418706875</v>
      </c>
      <c r="I50" s="696">
        <f>transport!H18</f>
        <v>3136.3842235735133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17639.698358133744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1.019487482732456</v>
      </c>
      <c r="D52" s="725">
        <f t="shared" ref="D52:Q52" ca="1" si="6">SUM(D48:D51)</f>
        <v>0</v>
      </c>
      <c r="E52" s="725">
        <f t="shared" si="6"/>
        <v>1.6974287655810907</v>
      </c>
      <c r="F52" s="725">
        <f t="shared" si="6"/>
        <v>58.668799605042935</v>
      </c>
      <c r="G52" s="725">
        <f t="shared" si="6"/>
        <v>0</v>
      </c>
      <c r="H52" s="725">
        <f t="shared" si="6"/>
        <v>14643.544550822535</v>
      </c>
      <c r="I52" s="725">
        <f t="shared" si="6"/>
        <v>3136.3842235735133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17841.314490249402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322.31579436428359</v>
      </c>
      <c r="D54" s="696">
        <f ca="1">+landbouw!C12</f>
        <v>0</v>
      </c>
      <c r="E54" s="696">
        <f>+landbouw!D12</f>
        <v>15.099053962609235</v>
      </c>
      <c r="F54" s="696">
        <f>+landbouw!E12</f>
        <v>4.7489369822652714</v>
      </c>
      <c r="G54" s="696">
        <f>+landbouw!F12</f>
        <v>1529.3873500559225</v>
      </c>
      <c r="H54" s="696">
        <f>+landbouw!G12</f>
        <v>0</v>
      </c>
      <c r="I54" s="696">
        <f>+landbouw!H12</f>
        <v>0</v>
      </c>
      <c r="J54" s="696">
        <f>+landbouw!I12</f>
        <v>0</v>
      </c>
      <c r="K54" s="696">
        <f>+landbouw!J12</f>
        <v>88.384045264857008</v>
      </c>
      <c r="L54" s="696">
        <f>+landbouw!K12</f>
        <v>0</v>
      </c>
      <c r="M54" s="696">
        <f>+landbouw!L12</f>
        <v>0</v>
      </c>
      <c r="N54" s="696">
        <f>+landbouw!M12</f>
        <v>0</v>
      </c>
      <c r="O54" s="696">
        <f>+landbouw!N12</f>
        <v>0</v>
      </c>
      <c r="P54" s="696">
        <f>+landbouw!O12</f>
        <v>0</v>
      </c>
      <c r="Q54" s="697">
        <f>+landbouw!P12</f>
        <v>0</v>
      </c>
      <c r="R54" s="724">
        <f ca="1">SUM(C54:Q54)</f>
        <v>1959.9351806299376</v>
      </c>
    </row>
    <row r="55" spans="1:18" ht="15" thickBot="1">
      <c r="A55" s="821" t="s">
        <v>872</v>
      </c>
      <c r="B55" s="831"/>
      <c r="C55" s="696">
        <f ca="1">C25*'EF ele_warmte'!B12</f>
        <v>220.15243299774582</v>
      </c>
      <c r="D55" s="696"/>
      <c r="E55" s="696">
        <f>E25*EF_CO2_aardgas</f>
        <v>433.21726434025101</v>
      </c>
      <c r="F55" s="696"/>
      <c r="G55" s="696"/>
      <c r="H55" s="696"/>
      <c r="I55" s="696"/>
      <c r="J55" s="696"/>
      <c r="K55" s="696"/>
      <c r="L55" s="696"/>
      <c r="M55" s="696"/>
      <c r="N55" s="696"/>
      <c r="O55" s="696"/>
      <c r="P55" s="696"/>
      <c r="Q55" s="697"/>
      <c r="R55" s="724">
        <f ca="1">SUM(C55:Q55)</f>
        <v>653.36969733799685</v>
      </c>
    </row>
    <row r="56" spans="1:18" ht="15.75" thickBot="1">
      <c r="A56" s="819" t="s">
        <v>873</v>
      </c>
      <c r="B56" s="832"/>
      <c r="C56" s="725">
        <f ca="1">SUM(C54:C55)</f>
        <v>542.46822736202944</v>
      </c>
      <c r="D56" s="725">
        <f t="shared" ref="D56:Q56" ca="1" si="7">SUM(D54:D55)</f>
        <v>0</v>
      </c>
      <c r="E56" s="725">
        <f t="shared" si="7"/>
        <v>448.31631830286022</v>
      </c>
      <c r="F56" s="725">
        <f t="shared" si="7"/>
        <v>4.7489369822652714</v>
      </c>
      <c r="G56" s="725">
        <f t="shared" si="7"/>
        <v>1529.3873500559225</v>
      </c>
      <c r="H56" s="725">
        <f t="shared" si="7"/>
        <v>0</v>
      </c>
      <c r="I56" s="725">
        <f t="shared" si="7"/>
        <v>0</v>
      </c>
      <c r="J56" s="725">
        <f t="shared" si="7"/>
        <v>0</v>
      </c>
      <c r="K56" s="725">
        <f t="shared" si="7"/>
        <v>88.384045264857008</v>
      </c>
      <c r="L56" s="725">
        <f t="shared" si="7"/>
        <v>0</v>
      </c>
      <c r="M56" s="725">
        <f t="shared" si="7"/>
        <v>0</v>
      </c>
      <c r="N56" s="725">
        <f t="shared" si="7"/>
        <v>0</v>
      </c>
      <c r="O56" s="725">
        <f t="shared" si="7"/>
        <v>0</v>
      </c>
      <c r="P56" s="725">
        <f t="shared" si="7"/>
        <v>0</v>
      </c>
      <c r="Q56" s="726">
        <f t="shared" si="7"/>
        <v>0</v>
      </c>
      <c r="R56" s="727">
        <f ca="1">SUM(R54:R55)</f>
        <v>2613.3048779679343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15870.559478539073</v>
      </c>
      <c r="D61" s="733">
        <f t="shared" ref="D61:Q61" ca="1" si="8">D46+D52+D56</f>
        <v>0</v>
      </c>
      <c r="E61" s="733">
        <f t="shared" ca="1" si="8"/>
        <v>14763.837857930992</v>
      </c>
      <c r="F61" s="733">
        <f t="shared" si="8"/>
        <v>1434.0311127887085</v>
      </c>
      <c r="G61" s="733">
        <f t="shared" ca="1" si="8"/>
        <v>27045.910837337582</v>
      </c>
      <c r="H61" s="733">
        <f t="shared" si="8"/>
        <v>14643.544550822535</v>
      </c>
      <c r="I61" s="733">
        <f t="shared" si="8"/>
        <v>3136.3842235735133</v>
      </c>
      <c r="J61" s="733">
        <f t="shared" si="8"/>
        <v>0</v>
      </c>
      <c r="K61" s="733">
        <f t="shared" si="8"/>
        <v>465.11977056996204</v>
      </c>
      <c r="L61" s="733">
        <f t="shared" si="8"/>
        <v>0</v>
      </c>
      <c r="M61" s="733">
        <f t="shared" ca="1" si="8"/>
        <v>0</v>
      </c>
      <c r="N61" s="733">
        <f t="shared" si="8"/>
        <v>0</v>
      </c>
      <c r="O61" s="733">
        <f t="shared" ca="1" si="8"/>
        <v>0</v>
      </c>
      <c r="P61" s="733">
        <f t="shared" si="8"/>
        <v>0</v>
      </c>
      <c r="Q61" s="733">
        <f t="shared" si="8"/>
        <v>0</v>
      </c>
      <c r="R61" s="733">
        <f ca="1">R46+R52+R56</f>
        <v>77359.387831562359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0.19414489917445177</v>
      </c>
      <c r="D63" s="776">
        <f t="shared" ca="1" si="9"/>
        <v>0</v>
      </c>
      <c r="E63" s="1011">
        <f t="shared" ca="1" si="9"/>
        <v>0.20200000000000004</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9933.4650000000001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9933.4650000000001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9933.4650000000001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9933.4650000000001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42944.351281907002</v>
      </c>
      <c r="C4" s="462">
        <f>huishoudens!C8</f>
        <v>0</v>
      </c>
      <c r="D4" s="462">
        <f>huishoudens!D8</f>
        <v>54557.217359297516</v>
      </c>
      <c r="E4" s="462">
        <f>huishoudens!E8</f>
        <v>4605.6938008908501</v>
      </c>
      <c r="F4" s="462">
        <f>huishoudens!F8</f>
        <v>85687.11923745113</v>
      </c>
      <c r="G4" s="462">
        <f>huishoudens!G8</f>
        <v>0</v>
      </c>
      <c r="H4" s="462">
        <f>huishoudens!H8</f>
        <v>0</v>
      </c>
      <c r="I4" s="462">
        <f>huishoudens!I8</f>
        <v>0</v>
      </c>
      <c r="J4" s="462">
        <f>huishoudens!J8</f>
        <v>1033.3500935442776</v>
      </c>
      <c r="K4" s="462">
        <f>huishoudens!K8</f>
        <v>0</v>
      </c>
      <c r="L4" s="462">
        <f>huishoudens!L8</f>
        <v>0</v>
      </c>
      <c r="M4" s="462">
        <f>huishoudens!M8</f>
        <v>0</v>
      </c>
      <c r="N4" s="462">
        <f>huishoudens!N8</f>
        <v>29454.46678247919</v>
      </c>
      <c r="O4" s="462">
        <f>huishoudens!O8</f>
        <v>589.37666666666667</v>
      </c>
      <c r="P4" s="463">
        <f>huishoudens!P8</f>
        <v>1620.6666666666665</v>
      </c>
      <c r="Q4" s="464">
        <f>SUM(B4:P4)</f>
        <v>220492.24188890331</v>
      </c>
    </row>
    <row r="5" spans="1:17">
      <c r="A5" s="461" t="s">
        <v>156</v>
      </c>
      <c r="B5" s="462">
        <f ca="1">tertiair!B16</f>
        <v>17427.976522478544</v>
      </c>
      <c r="C5" s="462">
        <f ca="1">tertiair!C16</f>
        <v>0</v>
      </c>
      <c r="D5" s="462">
        <f ca="1">tertiair!D16</f>
        <v>10970.036009033291</v>
      </c>
      <c r="E5" s="462">
        <f>tertiair!E16</f>
        <v>269.80225287859435</v>
      </c>
      <c r="F5" s="462">
        <f ca="1">tertiair!F16</f>
        <v>3657.1114803419623</v>
      </c>
      <c r="G5" s="462">
        <f>tertiair!G16</f>
        <v>0</v>
      </c>
      <c r="H5" s="462">
        <f>tertiair!H16</f>
        <v>0</v>
      </c>
      <c r="I5" s="462">
        <f>tertiair!I16</f>
        <v>0</v>
      </c>
      <c r="J5" s="462">
        <f>tertiair!J16</f>
        <v>0</v>
      </c>
      <c r="K5" s="462">
        <f>tertiair!K16</f>
        <v>0</v>
      </c>
      <c r="L5" s="462">
        <f ca="1">tertiair!L16</f>
        <v>0</v>
      </c>
      <c r="M5" s="462">
        <f>tertiair!M16</f>
        <v>0</v>
      </c>
      <c r="N5" s="462">
        <f ca="1">tertiair!N16</f>
        <v>2201.7703941667983</v>
      </c>
      <c r="O5" s="462">
        <f>tertiair!O16</f>
        <v>3.1266666666666669</v>
      </c>
      <c r="P5" s="463">
        <f>tertiair!P16</f>
        <v>19.066666666666666</v>
      </c>
      <c r="Q5" s="461">
        <f t="shared" ref="Q5:Q14" ca="1" si="0">SUM(B5:P5)</f>
        <v>34548.889992232522</v>
      </c>
    </row>
    <row r="6" spans="1:17">
      <c r="A6" s="461" t="s">
        <v>194</v>
      </c>
      <c r="B6" s="462">
        <f>'openbare verlichting'!B8</f>
        <v>1339.0139999999999</v>
      </c>
      <c r="C6" s="462"/>
      <c r="D6" s="462"/>
      <c r="E6" s="462"/>
      <c r="F6" s="462"/>
      <c r="G6" s="462"/>
      <c r="H6" s="462"/>
      <c r="I6" s="462"/>
      <c r="J6" s="462"/>
      <c r="K6" s="462"/>
      <c r="L6" s="462"/>
      <c r="M6" s="462"/>
      <c r="N6" s="462"/>
      <c r="O6" s="462"/>
      <c r="P6" s="463"/>
      <c r="Q6" s="461">
        <f t="shared" si="0"/>
        <v>1339.0139999999999</v>
      </c>
    </row>
    <row r="7" spans="1:17">
      <c r="A7" s="461" t="s">
        <v>112</v>
      </c>
      <c r="B7" s="462">
        <f>landbouw!B8</f>
        <v>1660.1816258621448</v>
      </c>
      <c r="C7" s="462">
        <f>landbouw!C8</f>
        <v>0</v>
      </c>
      <c r="D7" s="462">
        <f>landbouw!D8</f>
        <v>74.74779189410512</v>
      </c>
      <c r="E7" s="462">
        <f>landbouw!E8</f>
        <v>20.920427234648773</v>
      </c>
      <c r="F7" s="462">
        <f>landbouw!F8</f>
        <v>5728.0425095727433</v>
      </c>
      <c r="G7" s="462">
        <f>landbouw!G8</f>
        <v>0</v>
      </c>
      <c r="H7" s="462">
        <f>landbouw!H8</f>
        <v>0</v>
      </c>
      <c r="I7" s="462">
        <f>landbouw!I8</f>
        <v>0</v>
      </c>
      <c r="J7" s="462">
        <f>landbouw!J8</f>
        <v>249.6724442510085</v>
      </c>
      <c r="K7" s="462">
        <f>landbouw!K8</f>
        <v>0</v>
      </c>
      <c r="L7" s="462">
        <f>landbouw!L8</f>
        <v>0</v>
      </c>
      <c r="M7" s="462">
        <f>landbouw!M8</f>
        <v>0</v>
      </c>
      <c r="N7" s="462">
        <f>landbouw!N8</f>
        <v>0</v>
      </c>
      <c r="O7" s="462">
        <f>landbouw!O8</f>
        <v>0</v>
      </c>
      <c r="P7" s="463">
        <f>landbouw!P8</f>
        <v>0</v>
      </c>
      <c r="Q7" s="461">
        <f t="shared" si="0"/>
        <v>7733.5647988146502</v>
      </c>
    </row>
    <row r="8" spans="1:17">
      <c r="A8" s="461" t="s">
        <v>657</v>
      </c>
      <c r="B8" s="462">
        <f>industrie!B18</f>
        <v>17235.21733195283</v>
      </c>
      <c r="C8" s="462">
        <f>industrie!C18</f>
        <v>0</v>
      </c>
      <c r="D8" s="462">
        <f>industrie!D18</f>
        <v>5333.2620319788493</v>
      </c>
      <c r="E8" s="462">
        <f>industrie!E18</f>
        <v>1162.4483347829782</v>
      </c>
      <c r="F8" s="462">
        <f>industrie!F18</f>
        <v>6223.2729798910204</v>
      </c>
      <c r="G8" s="462">
        <f>industrie!G18</f>
        <v>0</v>
      </c>
      <c r="H8" s="462">
        <f>industrie!H18</f>
        <v>0</v>
      </c>
      <c r="I8" s="462">
        <f>industrie!I18</f>
        <v>0</v>
      </c>
      <c r="J8" s="462">
        <f>industrie!J18</f>
        <v>30.875119182007992</v>
      </c>
      <c r="K8" s="462">
        <f>industrie!K18</f>
        <v>0</v>
      </c>
      <c r="L8" s="462">
        <f>industrie!L18</f>
        <v>0</v>
      </c>
      <c r="M8" s="462">
        <f>industrie!M18</f>
        <v>0</v>
      </c>
      <c r="N8" s="462">
        <f>industrie!N18</f>
        <v>3185.2384808342695</v>
      </c>
      <c r="O8" s="462">
        <f>industrie!O18</f>
        <v>0</v>
      </c>
      <c r="P8" s="463">
        <f>industrie!P18</f>
        <v>0</v>
      </c>
      <c r="Q8" s="461">
        <f t="shared" si="0"/>
        <v>33170.314278621954</v>
      </c>
    </row>
    <row r="9" spans="1:17" s="467" customFormat="1">
      <c r="A9" s="465" t="s">
        <v>574</v>
      </c>
      <c r="B9" s="466">
        <f>transport!B14</f>
        <v>5.251168004246046</v>
      </c>
      <c r="C9" s="466">
        <f>transport!C14</f>
        <v>0</v>
      </c>
      <c r="D9" s="466">
        <f>transport!D14</f>
        <v>8.4031127008964877</v>
      </c>
      <c r="E9" s="466">
        <f>transport!E14</f>
        <v>258.45286169622437</v>
      </c>
      <c r="F9" s="466">
        <f>transport!F14</f>
        <v>0</v>
      </c>
      <c r="G9" s="466">
        <f>transport!G14</f>
        <v>54089.619545718633</v>
      </c>
      <c r="H9" s="466">
        <f>transport!H14</f>
        <v>12595.920576600454</v>
      </c>
      <c r="I9" s="466">
        <f>transport!I14</f>
        <v>0</v>
      </c>
      <c r="J9" s="466">
        <f>transport!J14</f>
        <v>0</v>
      </c>
      <c r="K9" s="466">
        <f>transport!K14</f>
        <v>0</v>
      </c>
      <c r="L9" s="466">
        <f>transport!L14</f>
        <v>0</v>
      </c>
      <c r="M9" s="466">
        <f>transport!M14</f>
        <v>3016.1276935267624</v>
      </c>
      <c r="N9" s="466">
        <f>transport!N14</f>
        <v>0</v>
      </c>
      <c r="O9" s="466">
        <f>transport!O14</f>
        <v>0</v>
      </c>
      <c r="P9" s="466">
        <f>transport!P14</f>
        <v>0</v>
      </c>
      <c r="Q9" s="465">
        <f>SUM(B9:P9)</f>
        <v>69973.774958247217</v>
      </c>
    </row>
    <row r="10" spans="1:17">
      <c r="A10" s="461" t="s">
        <v>564</v>
      </c>
      <c r="B10" s="462">
        <f>transport!B54</f>
        <v>0</v>
      </c>
      <c r="C10" s="462">
        <f>transport!C54</f>
        <v>0</v>
      </c>
      <c r="D10" s="462">
        <f>transport!D54</f>
        <v>0</v>
      </c>
      <c r="E10" s="462">
        <f>transport!E54</f>
        <v>0</v>
      </c>
      <c r="F10" s="462">
        <f>transport!F54</f>
        <v>0</v>
      </c>
      <c r="G10" s="462">
        <f>transport!G54</f>
        <v>755.11659968411516</v>
      </c>
      <c r="H10" s="462">
        <f>transport!H54</f>
        <v>0</v>
      </c>
      <c r="I10" s="462">
        <f>transport!I54</f>
        <v>0</v>
      </c>
      <c r="J10" s="462">
        <f>transport!J54</f>
        <v>0</v>
      </c>
      <c r="K10" s="462">
        <f>transport!K54</f>
        <v>0</v>
      </c>
      <c r="L10" s="462">
        <f>transport!L54</f>
        <v>0</v>
      </c>
      <c r="M10" s="462">
        <f>transport!M54</f>
        <v>33.581882140011352</v>
      </c>
      <c r="N10" s="462">
        <f>transport!N54</f>
        <v>0</v>
      </c>
      <c r="O10" s="462">
        <f>transport!O54</f>
        <v>0</v>
      </c>
      <c r="P10" s="463">
        <f>transport!P54</f>
        <v>0</v>
      </c>
      <c r="Q10" s="461">
        <f t="shared" si="0"/>
        <v>788.69848182412647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1133.9593980263398</v>
      </c>
      <c r="C14" s="469"/>
      <c r="D14" s="469">
        <f>'SEAP template'!E25</f>
        <v>2144.63992247649</v>
      </c>
      <c r="E14" s="469"/>
      <c r="F14" s="469"/>
      <c r="G14" s="469"/>
      <c r="H14" s="469"/>
      <c r="I14" s="469"/>
      <c r="J14" s="469"/>
      <c r="K14" s="469"/>
      <c r="L14" s="469"/>
      <c r="M14" s="469"/>
      <c r="N14" s="469"/>
      <c r="O14" s="469"/>
      <c r="P14" s="470"/>
      <c r="Q14" s="461">
        <f t="shared" si="0"/>
        <v>3278.5993205028299</v>
      </c>
    </row>
    <row r="15" spans="1:17" s="474" customFormat="1">
      <c r="A15" s="471" t="s">
        <v>568</v>
      </c>
      <c r="B15" s="472">
        <f ca="1">SUM(B4:B14)</f>
        <v>81745.951328231124</v>
      </c>
      <c r="C15" s="472">
        <f t="shared" ref="C15:Q15" ca="1" si="1">SUM(C4:C14)</f>
        <v>0</v>
      </c>
      <c r="D15" s="472">
        <f t="shared" ca="1" si="1"/>
        <v>73088.306227381152</v>
      </c>
      <c r="E15" s="472">
        <f t="shared" si="1"/>
        <v>6317.3176774832955</v>
      </c>
      <c r="F15" s="472">
        <f t="shared" ca="1" si="1"/>
        <v>101295.54620725685</v>
      </c>
      <c r="G15" s="472">
        <f t="shared" si="1"/>
        <v>54844.736145402749</v>
      </c>
      <c r="H15" s="472">
        <f t="shared" si="1"/>
        <v>12595.920576600454</v>
      </c>
      <c r="I15" s="472">
        <f t="shared" si="1"/>
        <v>0</v>
      </c>
      <c r="J15" s="472">
        <f t="shared" si="1"/>
        <v>1313.897656977294</v>
      </c>
      <c r="K15" s="472">
        <f t="shared" si="1"/>
        <v>0</v>
      </c>
      <c r="L15" s="472">
        <f t="shared" ca="1" si="1"/>
        <v>0</v>
      </c>
      <c r="M15" s="472">
        <f t="shared" si="1"/>
        <v>3049.7095756667736</v>
      </c>
      <c r="N15" s="472">
        <f t="shared" ca="1" si="1"/>
        <v>34841.47565748026</v>
      </c>
      <c r="O15" s="472">
        <f t="shared" si="1"/>
        <v>592.50333333333333</v>
      </c>
      <c r="P15" s="472">
        <f t="shared" si="1"/>
        <v>1639.7333333333331</v>
      </c>
      <c r="Q15" s="472">
        <f t="shared" ca="1" si="1"/>
        <v>371325.09771914664</v>
      </c>
    </row>
    <row r="17" spans="1:17">
      <c r="A17" s="475" t="s">
        <v>569</v>
      </c>
      <c r="B17" s="781">
        <f ca="1">huishoudens!B10</f>
        <v>0.19414489917445182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8337.4267497380752</v>
      </c>
      <c r="C22" s="462">
        <f t="shared" ref="C22:C32" ca="1" si="3">C4*$C$17</f>
        <v>0</v>
      </c>
      <c r="D22" s="462">
        <f t="shared" ref="D22:D32" si="4">D4*$D$17</f>
        <v>11020.557906578098</v>
      </c>
      <c r="E22" s="462">
        <f t="shared" ref="E22:E32" si="5">E4*$E$17</f>
        <v>1045.4924928022231</v>
      </c>
      <c r="F22" s="462">
        <f t="shared" ref="F22:F32" si="6">F4*$F$17</f>
        <v>22878.460836399452</v>
      </c>
      <c r="G22" s="462">
        <f t="shared" ref="G22:G32" si="7">G4*$G$17</f>
        <v>0</v>
      </c>
      <c r="H22" s="462">
        <f t="shared" ref="H22:H32" si="8">H4*$H$17</f>
        <v>0</v>
      </c>
      <c r="I22" s="462">
        <f t="shared" ref="I22:I32" si="9">I4*$I$17</f>
        <v>0</v>
      </c>
      <c r="J22" s="462">
        <f t="shared" ref="J22:J32" si="10">J4*$J$17</f>
        <v>365.80593311467425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43647.743918632521</v>
      </c>
    </row>
    <row r="23" spans="1:17">
      <c r="A23" s="461" t="s">
        <v>156</v>
      </c>
      <c r="B23" s="462">
        <f t="shared" ca="1" si="2"/>
        <v>3383.5527447713107</v>
      </c>
      <c r="C23" s="462">
        <f t="shared" ca="1" si="3"/>
        <v>0</v>
      </c>
      <c r="D23" s="462">
        <f t="shared" ca="1" si="4"/>
        <v>2215.947273824725</v>
      </c>
      <c r="E23" s="462">
        <f t="shared" si="5"/>
        <v>61.245111403440916</v>
      </c>
      <c r="F23" s="462">
        <f t="shared" ca="1" si="6"/>
        <v>976.44876525130394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6637.1938952507808</v>
      </c>
    </row>
    <row r="24" spans="1:17">
      <c r="A24" s="461" t="s">
        <v>194</v>
      </c>
      <c r="B24" s="462">
        <f t="shared" ca="1" si="2"/>
        <v>259.96273802317944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259.96273802317944</v>
      </c>
    </row>
    <row r="25" spans="1:17">
      <c r="A25" s="461" t="s">
        <v>112</v>
      </c>
      <c r="B25" s="462">
        <f t="shared" ca="1" si="2"/>
        <v>322.31579436428359</v>
      </c>
      <c r="C25" s="462">
        <f t="shared" ca="1" si="3"/>
        <v>0</v>
      </c>
      <c r="D25" s="462">
        <f t="shared" si="4"/>
        <v>15.099053962609235</v>
      </c>
      <c r="E25" s="462">
        <f t="shared" si="5"/>
        <v>4.7489369822652714</v>
      </c>
      <c r="F25" s="462">
        <f t="shared" si="6"/>
        <v>1529.3873500559225</v>
      </c>
      <c r="G25" s="462">
        <f t="shared" si="7"/>
        <v>0</v>
      </c>
      <c r="H25" s="462">
        <f t="shared" si="8"/>
        <v>0</v>
      </c>
      <c r="I25" s="462">
        <f t="shared" si="9"/>
        <v>0</v>
      </c>
      <c r="J25" s="462">
        <f t="shared" si="10"/>
        <v>88.384045264857008</v>
      </c>
      <c r="K25" s="462">
        <f t="shared" si="11"/>
        <v>0</v>
      </c>
      <c r="L25" s="462">
        <f t="shared" si="12"/>
        <v>0</v>
      </c>
      <c r="M25" s="462">
        <f t="shared" si="13"/>
        <v>0</v>
      </c>
      <c r="N25" s="462">
        <f t="shared" si="14"/>
        <v>0</v>
      </c>
      <c r="O25" s="462">
        <f t="shared" si="15"/>
        <v>0</v>
      </c>
      <c r="P25" s="463">
        <f t="shared" si="16"/>
        <v>0</v>
      </c>
      <c r="Q25" s="461">
        <f t="shared" ca="1" si="17"/>
        <v>1959.9351806299376</v>
      </c>
    </row>
    <row r="26" spans="1:17">
      <c r="A26" s="461" t="s">
        <v>657</v>
      </c>
      <c r="B26" s="462">
        <f t="shared" ca="1" si="2"/>
        <v>3346.1295311617469</v>
      </c>
      <c r="C26" s="462">
        <f t="shared" ca="1" si="3"/>
        <v>0</v>
      </c>
      <c r="D26" s="462">
        <f t="shared" si="4"/>
        <v>1077.3189304597277</v>
      </c>
      <c r="E26" s="462">
        <f t="shared" si="5"/>
        <v>263.87577199573605</v>
      </c>
      <c r="F26" s="462">
        <f t="shared" si="6"/>
        <v>1661.6138856309026</v>
      </c>
      <c r="G26" s="462">
        <f t="shared" si="7"/>
        <v>0</v>
      </c>
      <c r="H26" s="462">
        <f t="shared" si="8"/>
        <v>0</v>
      </c>
      <c r="I26" s="462">
        <f t="shared" si="9"/>
        <v>0</v>
      </c>
      <c r="J26" s="462">
        <f t="shared" si="10"/>
        <v>10.929792190430829</v>
      </c>
      <c r="K26" s="462">
        <f t="shared" si="11"/>
        <v>0</v>
      </c>
      <c r="L26" s="462">
        <f t="shared" si="12"/>
        <v>0</v>
      </c>
      <c r="M26" s="462">
        <f t="shared" si="13"/>
        <v>0</v>
      </c>
      <c r="N26" s="462">
        <f t="shared" si="14"/>
        <v>0</v>
      </c>
      <c r="O26" s="462">
        <f t="shared" si="15"/>
        <v>0</v>
      </c>
      <c r="P26" s="463">
        <f t="shared" si="16"/>
        <v>0</v>
      </c>
      <c r="Q26" s="461">
        <f t="shared" ca="1" si="17"/>
        <v>6359.8679114385432</v>
      </c>
    </row>
    <row r="27" spans="1:17" s="467" customFormat="1">
      <c r="A27" s="465" t="s">
        <v>574</v>
      </c>
      <c r="B27" s="775">
        <f t="shared" ca="1" si="2"/>
        <v>1.019487482732456</v>
      </c>
      <c r="C27" s="466">
        <f t="shared" ca="1" si="3"/>
        <v>0</v>
      </c>
      <c r="D27" s="466">
        <f t="shared" si="4"/>
        <v>1.6974287655810907</v>
      </c>
      <c r="E27" s="466">
        <f t="shared" si="5"/>
        <v>58.668799605042935</v>
      </c>
      <c r="F27" s="466">
        <f t="shared" si="6"/>
        <v>0</v>
      </c>
      <c r="G27" s="466">
        <f t="shared" si="7"/>
        <v>14441.928418706875</v>
      </c>
      <c r="H27" s="466">
        <f t="shared" si="8"/>
        <v>3136.3842235735133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17639.698358133744</v>
      </c>
    </row>
    <row r="28" spans="1:17">
      <c r="A28" s="461" t="s">
        <v>564</v>
      </c>
      <c r="B28" s="462">
        <f t="shared" ca="1" si="2"/>
        <v>0</v>
      </c>
      <c r="C28" s="462">
        <f t="shared" ca="1" si="3"/>
        <v>0</v>
      </c>
      <c r="D28" s="462">
        <f t="shared" si="4"/>
        <v>0</v>
      </c>
      <c r="E28" s="462">
        <f t="shared" si="5"/>
        <v>0</v>
      </c>
      <c r="F28" s="462">
        <f t="shared" si="6"/>
        <v>0</v>
      </c>
      <c r="G28" s="462">
        <f t="shared" si="7"/>
        <v>201.61613211565876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201.61613211565876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220.15243299774582</v>
      </c>
      <c r="C32" s="462">
        <f t="shared" ca="1" si="3"/>
        <v>0</v>
      </c>
      <c r="D32" s="462">
        <f t="shared" si="4"/>
        <v>433.21726434025101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653.36969733799685</v>
      </c>
    </row>
    <row r="33" spans="1:17" s="474" customFormat="1">
      <c r="A33" s="471" t="s">
        <v>568</v>
      </c>
      <c r="B33" s="472">
        <f ca="1">SUM(B22:B32)</f>
        <v>15870.559478539073</v>
      </c>
      <c r="C33" s="472">
        <f t="shared" ref="C33:Q33" ca="1" si="18">SUM(C22:C32)</f>
        <v>0</v>
      </c>
      <c r="D33" s="472">
        <f t="shared" ca="1" si="18"/>
        <v>14763.837857930992</v>
      </c>
      <c r="E33" s="472">
        <f t="shared" si="18"/>
        <v>1434.0311127887082</v>
      </c>
      <c r="F33" s="472">
        <f t="shared" ca="1" si="18"/>
        <v>27045.910837337586</v>
      </c>
      <c r="G33" s="472">
        <f t="shared" si="18"/>
        <v>14643.544550822535</v>
      </c>
      <c r="H33" s="472">
        <f t="shared" si="18"/>
        <v>3136.3842235735133</v>
      </c>
      <c r="I33" s="472">
        <f t="shared" si="18"/>
        <v>0</v>
      </c>
      <c r="J33" s="472">
        <f t="shared" si="18"/>
        <v>465.11977056996204</v>
      </c>
      <c r="K33" s="472">
        <f t="shared" si="18"/>
        <v>0</v>
      </c>
      <c r="L33" s="472">
        <f t="shared" ca="1" si="18"/>
        <v>0</v>
      </c>
      <c r="M33" s="472">
        <f t="shared" si="18"/>
        <v>0</v>
      </c>
      <c r="N33" s="472">
        <f t="shared" ca="1" si="18"/>
        <v>0</v>
      </c>
      <c r="O33" s="472">
        <f t="shared" si="18"/>
        <v>0</v>
      </c>
      <c r="P33" s="472">
        <f t="shared" si="18"/>
        <v>0</v>
      </c>
      <c r="Q33" s="472">
        <f t="shared" ca="1" si="18"/>
        <v>77359.387831562359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9933.4650000000001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9933.4650000000001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0.19414489917445182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0.19414489917445182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2019-08-12T08:01:08Z</dcterms:modified>
</cp:coreProperties>
</file>