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<sst xmlns="http://schemas.openxmlformats.org/spreadsheetml/2006/main" count="2432" uniqueCount="913">
  <si>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</si>
  <si>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</si>
  <si>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</si>
  <si>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</si>
  <si>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</si>
  <si>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</si>
  <si>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</si>
  <si>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</si>
  <si>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</si>
  <si>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</si>
  <si>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</si>
  <si>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</si>
  <si>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</si>
  <si>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</si>
  <si>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</si>
  <si>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</si>
  <si>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</si>
  <si>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</si>
  <si>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</si>
  <si>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</si>
  <si>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</si>
  <si>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</si>
  <si>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</si>
  <si>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</si>
  <si>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</si>
  <si>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</si>
  <si>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</si>
  <si>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</si>
  <si>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</si>
  <si>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</si>
  <si>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</si>
  <si>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</si>
  <si>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</si>
  <si>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</si>
  <si>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</si>
  <si>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</si>
  <si>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</si>
  <si>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</si>
  <si>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</si>
  <si>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</si>
  <si>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</si>
  <si>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</si>
  <si>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</si>
  <si>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</si>
  <si>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</si>
  <si>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</si>
  <si>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</si>
  <si>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</si>
  <si>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</si>
  <si>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</si>
  <si>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</si>
  <si>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</si>
  <si>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</si>
  <si>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</si>
  <si>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</si>
  <si>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</si>
  <si>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</si>
  <si>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</si>
  <si>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</si>
  <si>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</si>
  <si>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</si>
  <si>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</si>
  <si>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</si>
  <si>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</si>
  <si>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</si>
  <si>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</si>
  <si>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</si>
  <si>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</si>
  <si>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</si>
  <si>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</si>
  <si>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</si>
  <si>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</si>
  <si>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</si>
  <si>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</si>
  <si>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</si>
  <si>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</si>
  <si>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</si>
  <si>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</si>
  <si>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</si>
  <si>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</si>
  <si>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</si>
  <si>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</si>
  <si>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</si>
  <si>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</si>
  <si>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</si>
  <si>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</si>
  <si>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</si>
  <si>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</si>
  <si>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</si>
  <si>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</si>
  <si>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</si>
  <si>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</si>
  <si>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</si>
  <si>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</si>
  <si>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</si>
  <si>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</si>
  <si>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</si>
  <si>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</si>
  <si>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</si>
  <si>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</si>
  <si>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</si>
  <si>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</si>
  <si>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</si>
  <si>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</si>
  <si>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</si>
  <si>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</si>
  <si>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</si>
  <si>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</si>
  <si>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</si>
  <si>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</si>
  <si>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</si>
  <si>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</si>
  <si>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</si>
  <si>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</si>
  <si>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</si>
  <si>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</si>
  <si>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</si>
  <si>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</si>
  <si>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</si>
  <si>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</si>
  <si>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</si>
  <si>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</si>
  <si>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</si>
  <si>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</si>
  <si>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</si>
  <si>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</si>
  <si>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</si>
  <si>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</si>
  <si>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</si>
  <si>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</si>
  <si>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</si>
  <si>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</si>
  <si>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</si>
  <si>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</si>
  <si>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</si>
  <si>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</si>
  <si>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</si>
  <si>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</si>
  <si>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</si>
  <si>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</si>
  <si>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</si>
  <si>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</si>
  <si>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</si>
  <si>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</si>
  <si>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</si>
  <si>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</si>
  <si>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</si>
  <si>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</si>
  <si>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</si>
  <si>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</si>
  <si>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</si>
  <si>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</si>
  <si>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</si>
  <si>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</si>
  <si>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</si>
  <si>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</si>
  <si>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</si>
  <si>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</si>
  <si>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</si>
  <si>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</si>
  <si>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</si>
  <si>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</si>
  <si>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</si>
  <si>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</si>
  <si>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</si>
  <si>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</si>
  <si>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</si>
  <si>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</si>
  <si>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</si>
  <si>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</si>
  <si>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</si>
  <si>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</si>
  <si>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</si>
  <si>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</si>
  <si>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</si>
  <si>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</si>
  <si>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</si>
  <si>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</si>
  <si>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</si>
  <si>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</si>
  <si>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</si>
  <si>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</si>
  <si>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</si>
  <si>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</si>
  <si>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</si>
  <si>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</si>
  <si>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</si>
  <si>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</si>
  <si>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</si>
  <si>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</si>
  <si>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</si>
  <si>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</si>
  <si>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</si>
  <si>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</si>
  <si>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</si>
  <si>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</si>
  <si>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</si>
  <si>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</si>
  <si>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</si>
  <si>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</si>
  <si>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</si>
  <si>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</si>
  <si>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</si>
  <si>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</si>
  <si>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</si>
  <si>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</si>
  <si>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</si>
  <si>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</si>
  <si>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</si>
  <si>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</si>
  <si>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</si>
  <si>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</si>
  <si>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</si>
  <si>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</si>
  <si>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</si>
  <si>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</si>
  <si>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</si>
  <si>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</si>
  <si>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</si>
  <si>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</si>
  <si>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</si>
  <si>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</si>
  <si>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</si>
  <si>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</si>
  <si>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</si>
  <si>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</si>
  <si>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</si>
  <si>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</si>
  <si>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</si>
  <si>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</si>
  <si>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</si>
  <si>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</si>
  <si>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</si>
  <si>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</si>
  <si>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</si>
  <si>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</si>
  <si>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</si>
  <si>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</si>
  <si>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</si>
  <si>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</si>
  <si>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</si>
  <si>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</si>
  <si>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</si>
  <si>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</si>
  <si>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</si>
  <si>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</si>
  <si>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</si>
  <si>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</si>
  <si>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</si>
  <si>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</si>
  <si>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</si>
  <si>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</si>
  <si>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</si>
  <si>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</si>
  <si>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</si>
  <si>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</si>
  <si>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</si>
  <si>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</si>
  <si>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</si>
  <si>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</si>
  <si>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</si>
  <si>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</si>
  <si>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</si>
  <si>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</si>
  <si>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</si>
  <si>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</si>
  <si>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</si>
  <si>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</si>
  <si>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</si>
  <si>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</si>
  <si>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</si>
  <si>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</si>
  <si>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</si>
  <si>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</si>
  <si>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</si>
  <si>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</si>
  <si>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</si>
  <si>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</si>
  <si>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</si>
  <si>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</si>
  <si>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</si>
  <si>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</si>
  <si>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</si>
  <si>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</si>
  <si>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</si>
  <si>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</si>
  <si>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</si>
  <si>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</si>
  <si>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</si>
  <si>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</si>
  <si>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</si>
  <si>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</si>
  <si>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</si>
  <si>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</si>
  <si>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</si>
  <si>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</si>
  <si>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</si>
  <si>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</si>
  <si>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</si>
  <si>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</si>
  <si>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</si>
  <si>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</si>
  <si>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</si>
  <si>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</si>
  <si>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</si>
  <si>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</si>
  <si>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</si>
  <si>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</si>
  <si>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</si>
  <si>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</si>
  <si>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</si>
  <si>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</si>
  <si>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</si>
  <si>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</si>
  <si>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</si>
  <si>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</si>
  <si>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</si>
  <si>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</si>
  <si>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</si>
  <si>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</si>
  <si>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</si>
  <si>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</si>
  <si>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</si>
  <si>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</si>
  <si>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</si>
  <si>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</si>
  <si>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</si>
  <si>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</si>
  <si>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</si>
  <si>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</si>
  <si>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</si>
  <si>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</si>
  <si>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</si>
  <si>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</si>
  <si>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</si>
  <si>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</si>
  <si>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</si>
  <si>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</si>
  <si>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</si>
  <si>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</si>
  <si>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</si>
  <si>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</si>
  <si>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</si>
  <si>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</si>
  <si>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</si>
  <si>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</si>
  <si>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</si>
  <si>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</si>
  <si>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</si>
  <si>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</si>
  <si>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</si>
  <si>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</si>
  <si>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</si>
  <si>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</si>
  <si>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</si>
  <si>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</si>
  <si>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</si>
  <si>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</si>
  <si>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</si>
  <si>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</si>
  <si>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</si>
  <si>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</si>
  <si>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</si>
  <si>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</si>
  <si>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</si>
  <si>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</si>
  <si>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</si>
  <si>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</si>
  <si>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</si>
  <si>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</si>
  <si>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</si>
  <si>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</si>
  <si>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</si>
  <si>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</si>
  <si>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</si>
  <si>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</si>
  <si>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</si>
  <si>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</si>
  <si>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</si>
  <si>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</si>
  <si>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</si>
  <si>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</si>
  <si>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</si>
  <si>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</si>
  <si>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</si>
  <si>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</si>
  <si>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</si>
  <si>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</si>
  <si>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</si>
  <si>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</si>
  <si>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</si>
  <si>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</si>
  <si>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</si>
  <si>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</si>
  <si>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</si>
  <si>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</si>
  <si>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</si>
  <si>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</si>
  <si>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</si>
  <si>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</si>
  <si>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</si>
  <si>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</si>
  <si>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</si>
  <si>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</si>
  <si>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</si>
  <si>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</si>
  <si>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</si>
  <si>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</si>
  <si>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</si>
  <si>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</si>
  <si>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</si>
  <si>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</si>
  <si>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</si>
  <si>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</si>
  <si>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</si>
  <si>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</si>
  <si>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</si>
  <si>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</si>
  <si>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</si>
  <si>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</si>
  <si>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</si>
  <si>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</si>
  <si>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</si>
  <si>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</si>
  <si>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</si>
  <si>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</si>
  <si>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</si>
  <si>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</si>
  <si>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</si>
  <si>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</si>
  <si>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</si>
  <si>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</si>
  <si>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</si>
  <si>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</si>
  <si>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</si>
  <si>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</si>
  <si>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</si>
  <si>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</si>
  <si>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</si>
  <si>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</si>
  <si>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</si>
  <si>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</si>
  <si>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</si>
  <si>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</si>
  <si>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</si>
  <si>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</si>
  <si>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</si>
  <si>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</si>
  <si>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</si>
  <si>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</si>
  <si>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</si>
  <si>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</si>
  <si>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</si>
  <si>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</si>
  <si>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</si>
  <si>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</si>
  <si>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</si>
  <si>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</si>
  <si>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</si>
  <si>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</si>
  <si>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</si>
  <si>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</si>
  <si>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</si>
  <si>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</si>
  <si>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</si>
  <si>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</si>
  <si>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</si>
  <si>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</si>
  <si>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</si>
  <si>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</si>
  <si>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</si>
  <si>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</si>
  <si>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</si>
  <si>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</si>
  <si>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</si>
  <si>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</si>
  <si>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</si>
  <si>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</si>
  <si>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</si>
  <si>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</si>
  <si>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</si>
  <si>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</si>
  <si>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</si>
  <si>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</si>
  <si>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</si>
  <si>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</si>
  <si>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</si>
  <si>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</si>
  <si>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</si>
  <si>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</si>
  <si>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</si>
  <si>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</si>
  <si>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</si>
  <si>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</si>
  <si>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</si>
  <si>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</si>
  <si>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</si>
  <si>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</si>
  <si>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</si>
  <si>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</si>
  <si>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</si>
  <si>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</si>
  <si>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</si>
  <si>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</si>
  <si>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</si>
  <si>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</si>
  <si>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</si>
  <si>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</si>
  <si>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</si>
  <si>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</si>
  <si>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</si>
  <si>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</si>
  <si>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</si>
  <si>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</si>
  <si>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</si>
  <si>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</si>
  <si>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</si>
  <si>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</si>
  <si>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</si>
  <si>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</si>
  <si>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</si>
  <si>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</si>
  <si>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</si>
  <si>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</si>
  <si>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</si>
  <si>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</si>
  <si>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</si>
  <si>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</si>
  <si>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</si>
  <si>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</si>
  <si>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</si>
  <si>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</si>
  <si>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</si>
  <si>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</si>
  <si>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</si>
  <si>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</si>
  <si>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</si>
  <si>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</si>
  <si>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</si>
  <si>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</si>
  <si>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</si>
  <si>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</si>
  <si>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</si>
  <si>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</si>
  <si>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</si>
  <si>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</si>
  <si>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</si>
  <si>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</si>
  <si>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</si>
  <si>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</si>
  <si>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</si>
  <si>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</si>
  <si>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</si>
  <si>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</si>
  <si>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</si>
  <si>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</si>
  <si>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</si>
  <si>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</si>
  <si>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</si>
  <si>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</si>
  <si>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</si>
  <si>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</si>
  <si>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</si>
  <si>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</si>
  <si>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</si>
  <si>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</si>
  <si>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</si>
  <si>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</si>
  <si>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</si>
  <si>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</si>
  <si>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</si>
  <si>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</si>
  <si>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</si>
  <si>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</si>
  <si>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</si>
  <si>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</si>
  <si>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</si>
  <si>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</si>
  <si>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</si>
  <si>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</si>
  <si>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</si>
  <si>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</si>
  <si>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</si>
  <si>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</si>
  <si>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</si>
  <si>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</si>
  <si>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</si>
  <si>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</si>
  <si>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</si>
  <si>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</si>
  <si>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</si>
  <si>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</si>
  <si>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</si>
  <si>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</si>
  <si>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</si>
  <si>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</si>
  <si>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</si>
  <si>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</si>
  <si>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</si>
  <si>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</si>
  <si>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</si>
  <si>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</si>
  <si>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</si>
  <si>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</si>
  <si>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</si>
  <si>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</si>
  <si>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</si>
  <si>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</si>
  <si>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</si>
  <si>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</si>
  <si>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</si>
  <si>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</si>
  <si>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</si>
  <si>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</si>
  <si>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</si>
  <si>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</si>
  <si>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</si>
  <si>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</si>
  <si>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</si>
  <si>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</si>
  <si>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</si>
  <si>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</si>
  <si>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</si>
  <si>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</si>
  <si>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</si>
  <si>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</si>
  <si>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</si>
  <si>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</si>
  <si>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</si>
  <si>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</si>
  <si>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</si>
  <si>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</si>
  <si>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</si>
  <si>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</si>
  <si>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</si>
  <si>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</si>
  <si>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</si>
  <si>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</si>
  <si>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</si>
  <si>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</si>
  <si>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</si>
  <si>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</si>
  <si>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</si>
  <si>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</si>
  <si>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</si>
  <si>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</si>
  <si>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</si>
  <si>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</si>
  <si>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</si>
  <si>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</si>
  <si>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</si>
  <si>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</si>
  <si>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</si>
  <si>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</si>
  <si>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</si>
  <si>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</si>
  <si>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</si>
  <si>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</si>
  <si>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</si>
  <si>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</si>
  <si>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</si>
  <si>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</si>
  <si>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</si>
  <si>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</si>
  <si>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</si>
  <si>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</si>
  <si>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</si>
  <si>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</si>
  <si>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</si>
  <si>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</si>
  <si>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</si>
  <si>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</si>
  <si>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</si>
  <si>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</si>
  <si>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</si>
  <si>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</si>
  <si>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</si>
  <si>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</si>
  <si>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</si>
  <si>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</si>
  <si>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</si>
  <si>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</si>
  <si>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</si>
  <si>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</si>
  <si>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</si>
  <si>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</si>
  <si>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</si>
  <si>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</si>
  <si>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</si>
  <si>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</si>
  <si>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</si>
  <si>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</si>
  <si>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</si>
  <si>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</si>
  <si>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</si>
  <si>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</si>
  <si>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</si>
  <si>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</si>
  <si>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</si>
  <si>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</si>
  <si>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</si>
  <si>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</si>
  <si>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</si>
  <si>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</si>
  <si>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</si>
  <si>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</si>
  <si>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</si>
  <si>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</si>
  <si>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</si>
  <si>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</si>
  <si>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</si>
  <si>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</si>
  <si>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</si>
  <si>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</si>
  <si>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</si>
  <si>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</si>
  <si>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</si>
  <si>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</si>
  <si>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</si>
  <si>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</si>
  <si>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</si>
  <si>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</si>
  <si>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</si>
  <si>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</si>
  <si>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</si>
  <si>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</si>
  <si>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</si>
  <si>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</si>
  <si>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</si>
  <si>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</si>
  <si>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</si>
  <si>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</si>
  <si>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</si>
  <si>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</si>
  <si>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</si>
  <si>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</si>
  <si>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</si>
  <si>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</si>
  <si>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</si>
  <si>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</si>
  <si>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</si>
  <si>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</si>
  <si>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</si>
  <si>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</si>
  <si>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</si>
  <si>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</si>
  <si>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</si>
  <si>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</si>
  <si>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</si>
  <si>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</si>
  <si>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</si>
  <si>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</si>
  <si>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</si>
  <si>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</si>
  <si>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</si>
  <si>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</si>
  <si>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</si>
  <si>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</si>
  <si>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</si>
  <si>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</si>
  <si>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</si>
  <si>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</si>
  <si>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</si>
  <si>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</si>
  <si>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</si>
  <si>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</si>
  <si>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</si>
  <si>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</si>
  <si>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</si>
  <si>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</si>
  <si>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</si>
  <si>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</si>
  <si>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</si>
  <si>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</si>
  <si>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</si>
  <si>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</si>
  <si>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</si>
  <si>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</si>
  <si>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</si>
  <si>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</si>
  <si>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</si>
  <si>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</si>
  <si>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</si>
  <si>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</si>
  <si>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</si>
  <si>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</si>
  <si>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</si>
  <si>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</si>
  <si>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</si>
  <si>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</si>
  <si>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</si>
  <si>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</si>
  <si>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</si>
  <si>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</si>
  <si>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</si>
  <si>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</si>
  <si>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</si>
  <si>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</si>
  <si>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</si>
  <si>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</si>
  <si>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</si>
  <si>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</si>
  <si>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</si>
  <si>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</si>
  <si>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</si>
  <si>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</si>
  <si>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</si>
  <si>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</si>
  <si>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</si>
  <si>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</si>
  <si>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</si>
  <si>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</si>
  <si>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</si>
  <si>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</si>
  <si>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</si>
  <si>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</si>
  <si>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</si>
  <si>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</si>
  <si>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</si>
  <si>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</si>
  <si>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</si>
  <si>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</si>
  <si>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</si>
  <si>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</si>
  <si>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</si>
  <si>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</si>
  <si>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</si>
  <si>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</si>
  <si>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</si>
  <si>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</si>
  <si>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</si>
  <si>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</si>
  <si>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</si>
  <si>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</si>
  <si>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</si>
  <si>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</si>
  <si>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</si>
  <si>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</si>
  <si>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</si>
  <si>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</si>
  <si>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</si>
  <si>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</si>
  <si>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</si>
  <si>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</si>
  <si>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</si>
  <si>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</si>
  <si>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</si>
  <si>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</si>
  <si>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</si>
  <si>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</si>
  <si>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</si>
  <si>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</si>
  <si>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</si>
  <si>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</si>
  <si>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</si>
  <si>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</si>
  <si>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</si>
  <si>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</si>
  <si>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</si>
  <si>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</si>
  <si>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</si>
  <si>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</si>
  <si>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</si>
  <si>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</si>
  <si>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</si>
  <si>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</si>
  <si>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</si>
  <si>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</si>
  <si>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</si>
  <si>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</si>
  <si>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</si>
  <si>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</si>
  <si>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</si>
  <si>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</si>
  <si>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</si>
  <si>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</si>
  <si>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</si>
  <si>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</si>
  <si>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</si>
  <si>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</si>
  <si>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</si>
  <si>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</si>
  <si>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</si>
  <si>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</si>
  <si>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</si>
  <si>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</si>
  <si>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</si>
  <si>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</si>
  <si>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</si>
  <si>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</si>
  <si>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</si>
  <si>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</si>
  <si>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</si>
  <si>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</si>
  <si>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</si>
  <si>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</si>
  <si>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</si>
  <si>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</si>
  <si>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</si>
  <si>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</si>
  <si>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</si>
  <si>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</si>
  <si>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</si>
  <si>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</si>
  <si>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</si>
  <si>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</si>
  <si>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13002</t>
  </si>
  <si>
    <t>BAARLE-HERTOG</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</si>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</sst>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28077.510726163662</c:v>
                </c:pt>
                <c:pt idx="1">
                  <c:v>4110.0705884848494</c:v>
                </c:pt>
                <c:pt idx="2">
                  <c:v>174.45099999999999</c:v>
                </c:pt>
                <c:pt idx="3">
                  <c:v>5747.9890182115969</c:v>
                </c:pt>
                <c:pt idx="4">
                  <c:v>531.42965658521803</c:v>
                </c:pt>
                <c:pt idx="5">
                  <c:v>6337.5277047669415</c:v>
                </c:pt>
                <c:pt idx="6">
                  <c:v>94.549021625124865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53696"/>
        <c:axId val="182655232"/>
      </c:barChart>
      <c:catAx>
        <c:axId val="182653696"/>
        <c:scaling>
          <c:orientation val="minMax"/>
        </c:scaling>
        <c:axPos val="b"/>
        <c:numFmt formatCode="General" sourceLinked="0"/>
        <c:tickLblPos val="nextTo"/>
        <c:crossAx val="182655232"/>
        <c:crosses val="autoZero"/>
        <c:auto val="1"/>
        <c:lblAlgn val="ctr"/>
        <c:lblOffset val="100"/>
      </c:catAx>
      <c:valAx>
        <c:axId val="182655232"/>
        <c:scaling>
          <c:orientation val="minMax"/>
        </c:scaling>
        <c:axPos val="l"/>
        <c:majorGridlines/>
        <c:numFmt formatCode="#,##0" sourceLinked="1"/>
        <c:tickLblPos val="nextTo"/>
        <c:crossAx val="1826536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28077.510726163662</c:v>
                </c:pt>
                <c:pt idx="1">
                  <c:v>4110.0705884848494</c:v>
                </c:pt>
                <c:pt idx="2">
                  <c:v>174.45099999999999</c:v>
                </c:pt>
                <c:pt idx="3">
                  <c:v>5747.9890182115969</c:v>
                </c:pt>
                <c:pt idx="4">
                  <c:v>531.42965658521803</c:v>
                </c:pt>
                <c:pt idx="5">
                  <c:v>6337.5277047669415</c:v>
                </c:pt>
                <c:pt idx="6">
                  <c:v>94.549021625124865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5649.0243697072037</c:v>
                </c:pt>
                <c:pt idx="2">
                  <c:v>865.31125499338248</c:v>
                </c:pt>
                <c:pt idx="3">
                  <c:v>36.067609094124748</c:v>
                </c:pt>
                <c:pt idx="4">
                  <c:v>1408.7190316204587</c:v>
                </c:pt>
                <c:pt idx="5">
                  <c:v>101.94136686808645</c:v>
                </c:pt>
                <c:pt idx="6">
                  <c:v>1602.5314524117673</c:v>
                </c:pt>
                <c:pt idx="7">
                  <c:v>24.169702965940616</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71072"/>
        <c:axId val="182772864"/>
      </c:barChart>
      <c:catAx>
        <c:axId val="182771072"/>
        <c:scaling>
          <c:orientation val="minMax"/>
        </c:scaling>
        <c:axPos val="b"/>
        <c:numFmt formatCode="General" sourceLinked="0"/>
        <c:tickLblPos val="nextTo"/>
        <c:crossAx val="182772864"/>
        <c:crosses val="autoZero"/>
        <c:auto val="1"/>
        <c:lblAlgn val="ctr"/>
        <c:lblOffset val="100"/>
      </c:catAx>
      <c:valAx>
        <c:axId val="182772864"/>
        <c:scaling>
          <c:orientation val="minMax"/>
        </c:scaling>
        <c:axPos val="l"/>
        <c:majorGridlines/>
        <c:numFmt formatCode="#,##0" sourceLinked="1"/>
        <c:tickLblPos val="nextTo"/>
        <c:crossAx val="1827710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5649.0243697072037</c:v>
                </c:pt>
                <c:pt idx="2">
                  <c:v>865.31125499338248</c:v>
                </c:pt>
                <c:pt idx="3">
                  <c:v>36.067609094124748</c:v>
                </c:pt>
                <c:pt idx="4">
                  <c:v>1408.7190316204587</c:v>
                </c:pt>
                <c:pt idx="5">
                  <c:v>101.94136686808645</c:v>
                </c:pt>
                <c:pt idx="6">
                  <c:v>1602.5314524117673</c:v>
                </c:pt>
                <c:pt idx="7">
                  <c:v>24.169702965940616</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13002</v>
      </c>
      <c r="B6" s="398"/>
      <c r="C6" s="399"/>
    </row>
    <row r="7" spans="1:7" s="396" customFormat="1" ht="15.75" customHeight="1">
      <c r="A7" s="400" t="str">
        <f>txtMunicipality</f>
        <v>BAARLE-HERTOG</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0.20674922525021208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0.20674922525021208</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13002</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1062</v>
      </c>
      <c r="C9" s="338">
        <v>1027</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476</v>
      </c>
    </row>
    <row r="15" spans="1:6">
      <c r="A15" s="1295" t="s">
        <v>184</v>
      </c>
      <c r="B15" s="335">
        <v>290</v>
      </c>
    </row>
    <row r="16" spans="1:6">
      <c r="A16" s="1295" t="s">
        <v>6</v>
      </c>
      <c r="B16" s="335">
        <v>663</v>
      </c>
    </row>
    <row r="17" spans="1:6">
      <c r="A17" s="1295" t="s">
        <v>7</v>
      </c>
      <c r="B17" s="335">
        <v>28</v>
      </c>
    </row>
    <row r="18" spans="1:6">
      <c r="A18" s="1295" t="s">
        <v>8</v>
      </c>
      <c r="B18" s="335">
        <v>414</v>
      </c>
    </row>
    <row r="19" spans="1:6">
      <c r="A19" s="1295" t="s">
        <v>9</v>
      </c>
      <c r="B19" s="335">
        <v>385</v>
      </c>
    </row>
    <row r="20" spans="1:6">
      <c r="A20" s="1295" t="s">
        <v>10</v>
      </c>
      <c r="B20" s="335">
        <v>167</v>
      </c>
    </row>
    <row r="21" spans="1:6">
      <c r="A21" s="1295" t="s">
        <v>11</v>
      </c>
      <c r="B21" s="335">
        <v>1928</v>
      </c>
    </row>
    <row r="22" spans="1:6">
      <c r="A22" s="1295" t="s">
        <v>12</v>
      </c>
      <c r="B22" s="335">
        <v>9955</v>
      </c>
    </row>
    <row r="23" spans="1:6">
      <c r="A23" s="1295" t="s">
        <v>13</v>
      </c>
      <c r="B23" s="335">
        <v>92</v>
      </c>
    </row>
    <row r="24" spans="1:6">
      <c r="A24" s="1295" t="s">
        <v>14</v>
      </c>
      <c r="B24" s="335">
        <v>7</v>
      </c>
    </row>
    <row r="25" spans="1:6">
      <c r="A25" s="1295" t="s">
        <v>15</v>
      </c>
      <c r="B25" s="335">
        <v>536</v>
      </c>
    </row>
    <row r="26" spans="1:6">
      <c r="A26" s="1295" t="s">
        <v>16</v>
      </c>
      <c r="B26" s="335">
        <v>0</v>
      </c>
    </row>
    <row r="27" spans="1:6">
      <c r="A27" s="1295" t="s">
        <v>17</v>
      </c>
      <c r="B27" s="335">
        <v>0</v>
      </c>
    </row>
    <row r="28" spans="1:6" s="341" customFormat="1">
      <c r="A28" s="1296" t="s">
        <v>18</v>
      </c>
      <c r="B28" s="1296">
        <v>84304</v>
      </c>
    </row>
    <row r="29" spans="1:6">
      <c r="A29" s="1296" t="s">
        <v>909</v>
      </c>
      <c r="B29" s="1296">
        <v>8</v>
      </c>
      <c r="C29" s="341"/>
      <c r="D29" s="341"/>
      <c r="E29" s="341"/>
      <c r="F29" s="341"/>
    </row>
    <row r="30" spans="1:6">
      <c r="A30" s="1291" t="s">
        <v>910</v>
      </c>
      <c r="B30" s="1291">
        <v>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1</v>
      </c>
      <c r="F38" s="335">
        <v>4627.6752422899999</v>
      </c>
    </row>
    <row r="39" spans="1:6">
      <c r="A39" s="1295" t="s">
        <v>30</v>
      </c>
      <c r="B39" s="1295" t="s">
        <v>31</v>
      </c>
      <c r="C39" s="335">
        <v>1099</v>
      </c>
      <c r="D39" s="335">
        <v>25459075.648631729</v>
      </c>
      <c r="E39" s="335">
        <v>1056</v>
      </c>
      <c r="F39" s="335">
        <v>4528175.5910978401</v>
      </c>
    </row>
    <row r="40" spans="1:6">
      <c r="A40" s="1295" t="s">
        <v>30</v>
      </c>
      <c r="B40" s="1295" t="s">
        <v>29</v>
      </c>
      <c r="C40" s="335">
        <v>0</v>
      </c>
      <c r="D40" s="335">
        <v>0</v>
      </c>
      <c r="E40" s="335">
        <v>0</v>
      </c>
      <c r="F40" s="335">
        <v>0</v>
      </c>
    </row>
    <row r="41" spans="1:6">
      <c r="A41" s="1295" t="s">
        <v>32</v>
      </c>
      <c r="B41" s="1295" t="s">
        <v>33</v>
      </c>
      <c r="C41" s="335">
        <v>0</v>
      </c>
      <c r="D41" s="335">
        <v>0</v>
      </c>
      <c r="E41" s="335">
        <v>13</v>
      </c>
      <c r="F41" s="335">
        <v>59746.767137349103</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0</v>
      </c>
      <c r="F44" s="335">
        <v>0</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0</v>
      </c>
      <c r="D48" s="335">
        <v>0</v>
      </c>
      <c r="E48" s="335">
        <v>14</v>
      </c>
      <c r="F48" s="335">
        <v>265967.08963791898</v>
      </c>
    </row>
    <row r="49" spans="1:6">
      <c r="A49" s="1295" t="s">
        <v>32</v>
      </c>
      <c r="B49" s="1295" t="s">
        <v>40</v>
      </c>
      <c r="C49" s="335">
        <v>0</v>
      </c>
      <c r="D49" s="335">
        <v>0</v>
      </c>
      <c r="E49" s="335">
        <v>0</v>
      </c>
      <c r="F49" s="335">
        <v>0</v>
      </c>
    </row>
    <row r="50" spans="1:6">
      <c r="A50" s="1295" t="s">
        <v>32</v>
      </c>
      <c r="B50" s="1295" t="s">
        <v>41</v>
      </c>
      <c r="C50" s="335">
        <v>0</v>
      </c>
      <c r="D50" s="335">
        <v>0</v>
      </c>
      <c r="E50" s="335">
        <v>0</v>
      </c>
      <c r="F50" s="335">
        <v>0</v>
      </c>
    </row>
    <row r="51" spans="1:6">
      <c r="A51" s="1295" t="s">
        <v>42</v>
      </c>
      <c r="B51" s="1295" t="s">
        <v>43</v>
      </c>
      <c r="C51" s="335">
        <v>0</v>
      </c>
      <c r="D51" s="335">
        <v>0</v>
      </c>
      <c r="E51" s="335">
        <v>46</v>
      </c>
      <c r="F51" s="335">
        <v>909982.41341661999</v>
      </c>
    </row>
    <row r="52" spans="1:6">
      <c r="A52" s="1295" t="s">
        <v>42</v>
      </c>
      <c r="B52" s="1295" t="s">
        <v>29</v>
      </c>
      <c r="C52" s="335">
        <v>6</v>
      </c>
      <c r="D52" s="335">
        <v>1350602.3457327799</v>
      </c>
      <c r="E52" s="335">
        <v>4</v>
      </c>
      <c r="F52" s="335">
        <v>71918.652778308402</v>
      </c>
    </row>
    <row r="53" spans="1:6">
      <c r="A53" s="1295" t="s">
        <v>44</v>
      </c>
      <c r="B53" s="1295" t="s">
        <v>45</v>
      </c>
      <c r="C53" s="335">
        <v>2</v>
      </c>
      <c r="D53" s="335">
        <v>39775.375874201003</v>
      </c>
      <c r="E53" s="335">
        <v>45</v>
      </c>
      <c r="F53" s="335">
        <v>354654.17996407201</v>
      </c>
    </row>
    <row r="54" spans="1:6">
      <c r="A54" s="1295" t="s">
        <v>46</v>
      </c>
      <c r="B54" s="1295" t="s">
        <v>47</v>
      </c>
      <c r="C54" s="335">
        <v>0</v>
      </c>
      <c r="D54" s="335">
        <v>0</v>
      </c>
      <c r="E54" s="335">
        <v>1</v>
      </c>
      <c r="F54" s="335">
        <v>174451</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0</v>
      </c>
      <c r="D57" s="335">
        <v>0</v>
      </c>
      <c r="E57" s="335">
        <v>8</v>
      </c>
      <c r="F57" s="335">
        <v>47792.558563166</v>
      </c>
    </row>
    <row r="58" spans="1:6">
      <c r="A58" s="1295" t="s">
        <v>49</v>
      </c>
      <c r="B58" s="1295" t="s">
        <v>51</v>
      </c>
      <c r="C58" s="335">
        <v>0</v>
      </c>
      <c r="D58" s="335">
        <v>0</v>
      </c>
      <c r="E58" s="335">
        <v>0</v>
      </c>
      <c r="F58" s="335">
        <v>0</v>
      </c>
    </row>
    <row r="59" spans="1:6">
      <c r="A59" s="1295" t="s">
        <v>49</v>
      </c>
      <c r="B59" s="1295" t="s">
        <v>52</v>
      </c>
      <c r="C59" s="335">
        <v>0</v>
      </c>
      <c r="D59" s="335">
        <v>0</v>
      </c>
      <c r="E59" s="335">
        <v>48</v>
      </c>
      <c r="F59" s="335">
        <v>1478772.3902608899</v>
      </c>
    </row>
    <row r="60" spans="1:6">
      <c r="A60" s="1295" t="s">
        <v>49</v>
      </c>
      <c r="B60" s="1295" t="s">
        <v>53</v>
      </c>
      <c r="C60" s="335">
        <v>0</v>
      </c>
      <c r="D60" s="335">
        <v>0</v>
      </c>
      <c r="E60" s="335">
        <v>19</v>
      </c>
      <c r="F60" s="335">
        <v>430779.63752384402</v>
      </c>
    </row>
    <row r="61" spans="1:6">
      <c r="A61" s="1295" t="s">
        <v>49</v>
      </c>
      <c r="B61" s="1295" t="s">
        <v>54</v>
      </c>
      <c r="C61" s="335">
        <v>0</v>
      </c>
      <c r="D61" s="335">
        <v>0</v>
      </c>
      <c r="E61" s="335">
        <v>43</v>
      </c>
      <c r="F61" s="335">
        <v>222964.40633277901</v>
      </c>
    </row>
    <row r="62" spans="1:6">
      <c r="A62" s="1295" t="s">
        <v>49</v>
      </c>
      <c r="B62" s="1295" t="s">
        <v>55</v>
      </c>
      <c r="C62" s="335">
        <v>0</v>
      </c>
      <c r="D62" s="335">
        <v>0</v>
      </c>
      <c r="E62" s="335">
        <v>5</v>
      </c>
      <c r="F62" s="335">
        <v>66107.465249694098</v>
      </c>
    </row>
    <row r="63" spans="1:6">
      <c r="A63" s="1295" t="s">
        <v>49</v>
      </c>
      <c r="B63" s="1295" t="s">
        <v>29</v>
      </c>
      <c r="C63" s="335">
        <v>8</v>
      </c>
      <c r="D63" s="335">
        <v>339851.22592924401</v>
      </c>
      <c r="E63" s="335">
        <v>44</v>
      </c>
      <c r="F63" s="335">
        <v>790974.62738194305</v>
      </c>
    </row>
    <row r="64" spans="1:6">
      <c r="A64" s="1295" t="s">
        <v>56</v>
      </c>
      <c r="B64" s="1295" t="s">
        <v>57</v>
      </c>
      <c r="C64" s="335">
        <v>0</v>
      </c>
      <c r="D64" s="335">
        <v>0</v>
      </c>
      <c r="E64" s="335">
        <v>0</v>
      </c>
      <c r="F64" s="335">
        <v>0</v>
      </c>
    </row>
    <row r="65" spans="1:6">
      <c r="A65" s="1295" t="s">
        <v>56</v>
      </c>
      <c r="B65" s="1295" t="s">
        <v>29</v>
      </c>
      <c r="C65" s="335">
        <v>0</v>
      </c>
      <c r="D65" s="335">
        <v>0</v>
      </c>
      <c r="E65" s="335">
        <v>1</v>
      </c>
      <c r="F65" s="335">
        <v>13912.688037551599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4517538</v>
      </c>
      <c r="E73" s="335">
        <v>4715516.6055657417</v>
      </c>
    </row>
    <row r="74" spans="1:6">
      <c r="A74" s="1295" t="s">
        <v>64</v>
      </c>
      <c r="B74" s="1295" t="s">
        <v>727</v>
      </c>
      <c r="C74" s="1295" t="s">
        <v>728</v>
      </c>
      <c r="D74" s="335">
        <v>725838.63798622706</v>
      </c>
      <c r="E74" s="335">
        <v>778183.73128980328</v>
      </c>
    </row>
    <row r="75" spans="1:6">
      <c r="A75" s="1295" t="s">
        <v>65</v>
      </c>
      <c r="B75" s="1295" t="s">
        <v>725</v>
      </c>
      <c r="C75" s="1295" t="s">
        <v>729</v>
      </c>
      <c r="D75" s="335">
        <v>1748158</v>
      </c>
      <c r="E75" s="335">
        <v>1824774.3049567107</v>
      </c>
    </row>
    <row r="76" spans="1:6">
      <c r="A76" s="1295" t="s">
        <v>65</v>
      </c>
      <c r="B76" s="1295" t="s">
        <v>727</v>
      </c>
      <c r="C76" s="1295" t="s">
        <v>730</v>
      </c>
      <c r="D76" s="335">
        <v>32499.637986227088</v>
      </c>
      <c r="E76" s="335">
        <v>35872.797929549801</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24978.724027545824</v>
      </c>
      <c r="C83" s="335">
        <v>24677.35314581991</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358.31889999999999</v>
      </c>
    </row>
    <row r="92" spans="1:6">
      <c r="A92" s="1291" t="s">
        <v>69</v>
      </c>
      <c r="B92" s="338">
        <v>271.09769999999997</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675</v>
      </c>
    </row>
    <row r="98" spans="1:6">
      <c r="A98" s="1295" t="s">
        <v>72</v>
      </c>
      <c r="B98" s="335">
        <v>1</v>
      </c>
    </row>
    <row r="99" spans="1:6">
      <c r="A99" s="1295" t="s">
        <v>73</v>
      </c>
      <c r="B99" s="335">
        <v>5</v>
      </c>
    </row>
    <row r="100" spans="1:6">
      <c r="A100" s="1295" t="s">
        <v>74</v>
      </c>
      <c r="B100" s="335">
        <v>23</v>
      </c>
    </row>
    <row r="101" spans="1:6">
      <c r="A101" s="1295" t="s">
        <v>75</v>
      </c>
      <c r="B101" s="335">
        <v>24</v>
      </c>
    </row>
    <row r="102" spans="1:6">
      <c r="A102" s="1295" t="s">
        <v>76</v>
      </c>
      <c r="B102" s="335">
        <v>17</v>
      </c>
    </row>
    <row r="103" spans="1:6">
      <c r="A103" s="1295" t="s">
        <v>77</v>
      </c>
      <c r="B103" s="335">
        <v>16</v>
      </c>
    </row>
    <row r="104" spans="1:6">
      <c r="A104" s="1295" t="s">
        <v>78</v>
      </c>
      <c r="B104" s="335">
        <v>95</v>
      </c>
    </row>
    <row r="105" spans="1:6">
      <c r="A105" s="1291" t="s">
        <v>79</v>
      </c>
      <c r="B105" s="1291">
        <v>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5</v>
      </c>
      <c r="C123" s="335">
        <v>2</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9</v>
      </c>
    </row>
    <row r="130" spans="1:6">
      <c r="A130" s="1295" t="s">
        <v>295</v>
      </c>
      <c r="B130" s="335">
        <v>0</v>
      </c>
    </row>
    <row r="131" spans="1:6">
      <c r="A131" s="1295" t="s">
        <v>296</v>
      </c>
      <c r="B131" s="335">
        <v>0</v>
      </c>
    </row>
    <row r="132" spans="1:6">
      <c r="A132" s="1291" t="s">
        <v>297</v>
      </c>
      <c r="B132" s="338">
        <v>6</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9760.9478110704222</v>
      </c>
      <c r="C3" s="43" t="s">
        <v>170</v>
      </c>
      <c r="D3" s="43"/>
      <c r="E3" s="156"/>
      <c r="F3" s="43"/>
      <c r="G3" s="43"/>
      <c r="H3" s="43"/>
      <c r="I3" s="43"/>
      <c r="J3" s="43"/>
      <c r="K3" s="96"/>
    </row>
    <row r="4" spans="1:11">
      <c r="A4" s="366" t="s">
        <v>171</v>
      </c>
      <c r="B4" s="49">
        <f>IF(ISERROR('SEAP template'!B78+'SEAP template'!C78),0,'SEAP template'!B78+'SEAP template'!C78)</f>
        <v>629.41660000000002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0.20674922525021208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174.45099999999999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174.45099999999999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0.20674922525021208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36.067609094124748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4528.17559109784</v>
      </c>
      <c r="C5" s="17">
        <f>IF(ISERROR('Eigen informatie GS &amp; warmtenet'!B57),0,'Eigen informatie GS &amp; warmtenet'!B57)</f>
        <v>0</v>
      </c>
      <c r="D5" s="30">
        <f>(SUM(HH_hh_gas_kWh,HH_rest_gas_kWh)/1000)*0.902</f>
        <v>22964.086235065821</v>
      </c>
      <c r="E5" s="17">
        <f>B46*B57</f>
        <v>0</v>
      </c>
      <c r="F5" s="17">
        <f>B51*B62</f>
        <v>0</v>
      </c>
      <c r="G5" s="18"/>
      <c r="H5" s="17"/>
      <c r="I5" s="17"/>
      <c r="J5" s="17">
        <f>B50*B61+C50*C61</f>
        <v>0</v>
      </c>
      <c r="K5" s="17"/>
      <c r="L5" s="17"/>
      <c r="M5" s="17"/>
      <c r="N5" s="17">
        <f>B48*B59+C48*C59</f>
        <v>0</v>
      </c>
      <c r="O5" s="17">
        <f>B69*B70*B71</f>
        <v>17.196666666666669</v>
      </c>
      <c r="P5" s="17">
        <f>B77*B78*B79/1000-B77*B78*B79/1000/B80</f>
        <v>209.73333333333335</v>
      </c>
    </row>
    <row r="6" spans="1:16">
      <c r="A6" s="16" t="s">
        <v>634</v>
      </c>
      <c r="B6" s="783">
        <f>kWh_PV_kleiner_dan_10kW</f>
        <v>358.31889999999999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4886.4944910978402</v>
      </c>
      <c r="C8" s="21">
        <f>C5</f>
        <v>0</v>
      </c>
      <c r="D8" s="21">
        <f>D5</f>
        <v>22964.086235065821</v>
      </c>
      <c r="E8" s="21">
        <f>E5</f>
        <v>0</v>
      </c>
      <c r="F8" s="21">
        <f>F5</f>
        <v>0</v>
      </c>
      <c r="G8" s="21"/>
      <c r="H8" s="21"/>
      <c r="I8" s="21"/>
      <c r="J8" s="21">
        <f>J5</f>
        <v>0</v>
      </c>
      <c r="K8" s="21"/>
      <c r="L8" s="21">
        <f>L5</f>
        <v>0</v>
      </c>
      <c r="M8" s="21">
        <f>M5</f>
        <v>0</v>
      </c>
      <c r="N8" s="21">
        <f>N5</f>
        <v>0</v>
      </c>
      <c r="O8" s="21">
        <f>O5</f>
        <v>17.196666666666669</v>
      </c>
      <c r="P8" s="21">
        <f>P5</f>
        <v>209.73333333333335</v>
      </c>
    </row>
    <row r="9" spans="1:16">
      <c r="B9" s="19"/>
      <c r="C9" s="19"/>
      <c r="D9" s="261"/>
      <c r="E9" s="19"/>
      <c r="F9" s="19"/>
      <c r="G9" s="19"/>
      <c r="H9" s="19"/>
      <c r="I9" s="19"/>
      <c r="J9" s="19"/>
      <c r="K9" s="19"/>
      <c r="L9" s="19"/>
      <c r="M9" s="19"/>
      <c r="N9" s="19"/>
      <c r="O9" s="19"/>
      <c r="P9" s="19"/>
    </row>
    <row r="10" spans="1:16">
      <c r="A10" s="24" t="s">
        <v>214</v>
      </c>
      <c r="B10" s="25">
        <f ca="1">'EF ele_warmte'!B12</f>
        <v>0.20674922525021208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1010.2789502239078</v>
      </c>
      <c r="C12" s="23">
        <f ca="1">C10*C8</f>
        <v>0</v>
      </c>
      <c r="D12" s="23">
        <f>D8*D10</f>
        <v>4638.7454194832962</v>
      </c>
      <c r="E12" s="23">
        <f>E10*E8</f>
        <v>0</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675</v>
      </c>
      <c r="C18" s="168" t="s">
        <v>111</v>
      </c>
      <c r="D18" s="230"/>
      <c r="E18" s="15"/>
    </row>
    <row r="19" spans="1:7">
      <c r="A19" s="173" t="s">
        <v>72</v>
      </c>
      <c r="B19" s="37">
        <f>aantalw2001_ander</f>
        <v>1</v>
      </c>
      <c r="C19" s="168" t="s">
        <v>111</v>
      </c>
      <c r="D19" s="231"/>
      <c r="E19" s="15"/>
    </row>
    <row r="20" spans="1:7">
      <c r="A20" s="173" t="s">
        <v>73</v>
      </c>
      <c r="B20" s="37">
        <f>aantalw2001_propaan</f>
        <v>5</v>
      </c>
      <c r="C20" s="169">
        <f>IF(ISERROR(B20/SUM($B$20,$B$21,$B$22)*100),0,B20/SUM($B$20,$B$21,$B$22)*100)</f>
        <v>9.6153846153846168</v>
      </c>
      <c r="D20" s="231"/>
      <c r="E20" s="15"/>
    </row>
    <row r="21" spans="1:7">
      <c r="A21" s="173" t="s">
        <v>74</v>
      </c>
      <c r="B21" s="37">
        <f>aantalw2001_elektriciteit</f>
        <v>23</v>
      </c>
      <c r="C21" s="169">
        <f>IF(ISERROR(B21/SUM($B$20,$B$21,$B$22)*100),0,B21/SUM($B$20,$B$21,$B$22)*100)</f>
        <v>44.230769230769226</v>
      </c>
      <c r="D21" s="231"/>
      <c r="E21" s="15"/>
    </row>
    <row r="22" spans="1:7">
      <c r="A22" s="173" t="s">
        <v>75</v>
      </c>
      <c r="B22" s="37">
        <f>aantalw2001_hout</f>
        <v>24</v>
      </c>
      <c r="C22" s="169">
        <f>IF(ISERROR(B22/SUM($B$20,$B$21,$B$22)*100),0,B22/SUM($B$20,$B$21,$B$22)*100)</f>
        <v>46.153846153846153</v>
      </c>
      <c r="D22" s="231"/>
      <c r="E22" s="15"/>
    </row>
    <row r="23" spans="1:7">
      <c r="A23" s="173" t="s">
        <v>76</v>
      </c>
      <c r="B23" s="37">
        <f>aantalw2001_niet_gespec</f>
        <v>17</v>
      </c>
      <c r="C23" s="168" t="s">
        <v>111</v>
      </c>
      <c r="D23" s="230"/>
      <c r="E23" s="15"/>
    </row>
    <row r="24" spans="1:7">
      <c r="A24" s="173" t="s">
        <v>77</v>
      </c>
      <c r="B24" s="37">
        <f>aantalw2001_steenkool</f>
        <v>16</v>
      </c>
      <c r="C24" s="168" t="s">
        <v>111</v>
      </c>
      <c r="D24" s="231"/>
      <c r="E24" s="15"/>
    </row>
    <row r="25" spans="1:7">
      <c r="A25" s="173" t="s">
        <v>78</v>
      </c>
      <c r="B25" s="37">
        <f>aantalw2001_stookolie</f>
        <v>95</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1062</v>
      </c>
      <c r="C28" s="36"/>
      <c r="D28" s="230"/>
    </row>
    <row r="29" spans="1:7" s="15" customFormat="1">
      <c r="A29" s="232" t="s">
        <v>746</v>
      </c>
      <c r="B29" s="37">
        <f>SUM(HH_hh_gas_aantal,HH_rest_gas_aantal)</f>
        <v>1099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1099</v>
      </c>
      <c r="C32" s="169">
        <f>IF(ISERROR(B32/SUM($B$32,$B$34,$B$35,$B$36,$B$38,$B$39)*100),0,B32/SUM($B$32,$B$34,$B$35,$B$36,$B$38,$B$39)*100)</f>
        <v>100</v>
      </c>
      <c r="D32" s="235"/>
      <c r="G32" s="15"/>
    </row>
    <row r="33" spans="1:7">
      <c r="A33" s="173" t="s">
        <v>72</v>
      </c>
      <c r="B33" s="34" t="s">
        <v>111</v>
      </c>
      <c r="C33" s="169"/>
      <c r="D33" s="235"/>
      <c r="G33" s="15"/>
    </row>
    <row r="34" spans="1:7">
      <c r="A34" s="173" t="s">
        <v>73</v>
      </c>
      <c r="B34" s="33">
        <f>IF((($B$28-$B$32-$B$39-$B$77-$B$38)*C20/100)&lt;0,0,($B$28-$B$32-$B$39-$B$77-$B$38)*C20/100)</f>
        <v>0</v>
      </c>
      <c r="C34" s="169">
        <f>IF(ISERROR(B34/SUM($B$32,$B$34,$B$35,$B$36,$B$38,$B$39)*100),0,B34/SUM($B$32,$B$34,$B$35,$B$36,$B$38,$B$39)*100)</f>
        <v>0</v>
      </c>
      <c r="D34" s="235"/>
      <c r="G34" s="15"/>
    </row>
    <row r="35" spans="1:7">
      <c r="A35" s="173" t="s">
        <v>74</v>
      </c>
      <c r="B35" s="33">
        <f>IF((($B$28-$B$32-$B$39-$B$77-$B$38)*C21/100)&lt;0,0,($B$28-$B$32-$B$39-$B$77-$B$38)*C21/100)</f>
        <v>0</v>
      </c>
      <c r="C35" s="169">
        <f>IF(ISERROR(B35/SUM($B$32,$B$34,$B$35,$B$36,$B$38,$B$39)*100),0,B35/SUM($B$32,$B$34,$B$35,$B$36,$B$38,$B$39)*100)</f>
        <v>0</v>
      </c>
      <c r="D35" s="235"/>
      <c r="G35" s="15"/>
    </row>
    <row r="36" spans="1:7">
      <c r="A36" s="173" t="s">
        <v>75</v>
      </c>
      <c r="B36" s="33">
        <f>IF((($B$28-$B$32-$B$39-$B$77-$B$38)*C22/100)&lt;0,0,($B$28-$B$32-$B$39-$B$77-$B$38)*C22/100)</f>
        <v>0</v>
      </c>
      <c r="C36" s="169">
        <f>IF(ISERROR(B36/SUM($B$32,$B$34,$B$35,$B$36,$B$38,$B$39)*100),0,B36/SUM($B$32,$B$34,$B$35,$B$36,$B$38,$B$39)*100)</f>
        <v>0</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1099</v>
      </c>
      <c r="C44" s="34" t="s">
        <v>111</v>
      </c>
      <c r="D44" s="176"/>
    </row>
    <row r="45" spans="1:7">
      <c r="A45" s="173" t="s">
        <v>72</v>
      </c>
      <c r="B45" s="33" t="str">
        <f t="shared" si="0"/>
        <v>-</v>
      </c>
      <c r="C45" s="34" t="s">
        <v>111</v>
      </c>
      <c r="D45" s="176"/>
    </row>
    <row r="46" spans="1:7">
      <c r="A46" s="173" t="s">
        <v>73</v>
      </c>
      <c r="B46" s="33">
        <f t="shared" si="0"/>
        <v>0</v>
      </c>
      <c r="C46" s="34" t="s">
        <v>111</v>
      </c>
      <c r="D46" s="176"/>
    </row>
    <row r="47" spans="1:7">
      <c r="A47" s="173" t="s">
        <v>74</v>
      </c>
      <c r="B47" s="33">
        <f t="shared" si="0"/>
        <v>0</v>
      </c>
      <c r="C47" s="34" t="s">
        <v>111</v>
      </c>
      <c r="D47" s="176"/>
    </row>
    <row r="48" spans="1:7">
      <c r="A48" s="173" t="s">
        <v>75</v>
      </c>
      <c r="B48" s="33">
        <f t="shared" si="0"/>
        <v>0</v>
      </c>
      <c r="C48" s="33">
        <f>B48*10</f>
        <v>0</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3037.3910853123161</v>
      </c>
      <c r="C5" s="17">
        <f>IF(ISERROR('Eigen informatie GS &amp; warmtenet'!B58),0,'Eigen informatie GS &amp; warmtenet'!B58)</f>
        <v>0</v>
      </c>
      <c r="D5" s="30">
        <f>SUM(D6:D12)</f>
        <v>306.54580578817814</v>
      </c>
      <c r="E5" s="17">
        <f>SUM(E6:E12)</f>
        <v>56.321566271028772</v>
      </c>
      <c r="F5" s="17">
        <f>SUM(F6:F12)</f>
        <v>609.08521726750814</v>
      </c>
      <c r="G5" s="18"/>
      <c r="H5" s="17"/>
      <c r="I5" s="17"/>
      <c r="J5" s="17">
        <f>SUM(J6:J12)</f>
        <v>0</v>
      </c>
      <c r="K5" s="17"/>
      <c r="L5" s="17"/>
      <c r="M5" s="17"/>
      <c r="N5" s="17">
        <f>SUM(N6:N12)</f>
        <v>100.72691384581833</v>
      </c>
      <c r="O5" s="17">
        <f>B38*B39*B40</f>
        <v>0</v>
      </c>
      <c r="P5" s="17">
        <f>B46*B47*B48/1000-B46*B47*B48/1000/B49</f>
        <v>0</v>
      </c>
      <c r="R5" s="32"/>
    </row>
    <row r="6" spans="1:18">
      <c r="A6" s="32" t="s">
        <v>54</v>
      </c>
      <c r="B6" s="37">
        <f>B26</f>
        <v>222.96440633277899</v>
      </c>
      <c r="C6" s="33"/>
      <c r="D6" s="37">
        <f>IF(ISERROR(TER_kantoor_gas_kWh/1000),0,TER_kantoor_gas_kWh/1000)*0.902</f>
        <v>0</v>
      </c>
      <c r="E6" s="33">
        <f>$C$26*'E Balans VL '!I12/100/3.6*1000000</f>
        <v>0.86626392291801901</v>
      </c>
      <c r="F6" s="33">
        <f>$C$26*('E Balans VL '!L12+'E Balans VL '!N12)/100/3.6*1000000</f>
        <v>33.910857388869175</v>
      </c>
      <c r="G6" s="34"/>
      <c r="H6" s="33"/>
      <c r="I6" s="33"/>
      <c r="J6" s="33">
        <f>$C$26*('E Balans VL '!D12+'E Balans VL '!E12)/100/3.6*1000000</f>
        <v>0</v>
      </c>
      <c r="K6" s="33"/>
      <c r="L6" s="33"/>
      <c r="M6" s="33"/>
      <c r="N6" s="33">
        <f>$C$26*'E Balans VL '!Y12/100/3.6*1000000</f>
        <v>0.12288009836744249</v>
      </c>
      <c r="O6" s="33"/>
      <c r="P6" s="33"/>
      <c r="R6" s="32"/>
    </row>
    <row r="7" spans="1:18">
      <c r="A7" s="32" t="s">
        <v>53</v>
      </c>
      <c r="B7" s="37">
        <f t="shared" ref="B7:B12" si="0">B27</f>
        <v>430.77963752384403</v>
      </c>
      <c r="C7" s="33"/>
      <c r="D7" s="37">
        <f>IF(ISERROR(TER_horeca_gas_kWh/1000),0,TER_horeca_gas_kWh/1000)*0.902</f>
        <v>0</v>
      </c>
      <c r="E7" s="33">
        <f>$C$27*'E Balans VL '!I9/100/3.6*1000000</f>
        <v>24.265932153111326</v>
      </c>
      <c r="F7" s="33">
        <f>$C$27*('E Balans VL '!L9+'E Balans VL '!N9)/100/3.6*1000000</f>
        <v>124.21105721146017</v>
      </c>
      <c r="G7" s="34"/>
      <c r="H7" s="33"/>
      <c r="I7" s="33"/>
      <c r="J7" s="33">
        <f>$C$27*('E Balans VL '!D9+'E Balans VL '!E9)/100/3.6*1000000</f>
        <v>0</v>
      </c>
      <c r="K7" s="33"/>
      <c r="L7" s="33"/>
      <c r="M7" s="33"/>
      <c r="N7" s="33">
        <f>$C$27*'E Balans VL '!Y9/100/3.6*1000000</f>
        <v>0.11893601937871925</v>
      </c>
      <c r="O7" s="33"/>
      <c r="P7" s="33"/>
      <c r="R7" s="32"/>
    </row>
    <row r="8" spans="1:18">
      <c r="A8" s="6" t="s">
        <v>52</v>
      </c>
      <c r="B8" s="37">
        <f t="shared" si="0"/>
        <v>1478.77239026089</v>
      </c>
      <c r="C8" s="33"/>
      <c r="D8" s="37">
        <f>IF(ISERROR(TER_handel_gas_kWh/1000),0,TER_handel_gas_kWh/1000)*0.902</f>
        <v>0</v>
      </c>
      <c r="E8" s="33">
        <f>$C$28*'E Balans VL '!I13/100/3.6*1000000</f>
        <v>21.314127119312538</v>
      </c>
      <c r="F8" s="33">
        <f>$C$28*('E Balans VL '!L13+'E Balans VL '!N13)/100/3.6*1000000</f>
        <v>256.89720247342979</v>
      </c>
      <c r="G8" s="34"/>
      <c r="H8" s="33"/>
      <c r="I8" s="33"/>
      <c r="J8" s="33">
        <f>$C$28*('E Balans VL '!D13+'E Balans VL '!E13)/100/3.6*1000000</f>
        <v>0</v>
      </c>
      <c r="K8" s="33"/>
      <c r="L8" s="33"/>
      <c r="M8" s="33"/>
      <c r="N8" s="33">
        <f>$C$28*'E Balans VL '!Y13/100/3.6*1000000</f>
        <v>4.430566701555315</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47.792558563165997</v>
      </c>
      <c r="C10" s="33"/>
      <c r="D10" s="37">
        <f>IF(ISERROR(TER_ander_gas_kWh/1000),0,TER_ander_gas_kWh/1000)*0.902</f>
        <v>0</v>
      </c>
      <c r="E10" s="33">
        <f>$C$30*'E Balans VL '!I14/100/3.6*1000000</f>
        <v>0.21979070704418019</v>
      </c>
      <c r="F10" s="33">
        <f>$C$30*('E Balans VL '!L14+'E Balans VL '!N14)/100/3.6*1000000</f>
        <v>14.324937314170615</v>
      </c>
      <c r="G10" s="34"/>
      <c r="H10" s="33"/>
      <c r="I10" s="33"/>
      <c r="J10" s="33">
        <f>$C$30*('E Balans VL '!D14+'E Balans VL '!E14)/100/3.6*1000000</f>
        <v>0</v>
      </c>
      <c r="K10" s="33"/>
      <c r="L10" s="33"/>
      <c r="M10" s="33"/>
      <c r="N10" s="33">
        <f>$C$30*'E Balans VL '!Y14/100/3.6*1000000</f>
        <v>33.266775583491743</v>
      </c>
      <c r="O10" s="33"/>
      <c r="P10" s="33"/>
      <c r="R10" s="32"/>
    </row>
    <row r="11" spans="1:18">
      <c r="A11" s="32" t="s">
        <v>55</v>
      </c>
      <c r="B11" s="37">
        <f t="shared" si="0"/>
        <v>66.107465249694101</v>
      </c>
      <c r="C11" s="33"/>
      <c r="D11" s="37">
        <f>IF(ISERROR(TER_onderwijs_gas_kWh/1000),0,TER_onderwijs_gas_kWh/1000)*0.902</f>
        <v>0</v>
      </c>
      <c r="E11" s="33">
        <f>$C$31*'E Balans VL '!I11/100/3.6*1000000</f>
        <v>6.1323367731077716E-2</v>
      </c>
      <c r="F11" s="33">
        <f>$C$31*('E Balans VL '!L11+'E Balans VL '!N11)/100/3.6*1000000</f>
        <v>23.22203317136578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790.97462738194304</v>
      </c>
      <c r="C12" s="33"/>
      <c r="D12" s="37">
        <f>IF(ISERROR(TER_rest_gas_kWh/1000),0,TER_rest_gas_kWh/1000)*0.902</f>
        <v>306.54580578817814</v>
      </c>
      <c r="E12" s="33">
        <f>$C$32*'E Balans VL '!I8/100/3.6*1000000</f>
        <v>9.5941290009116322</v>
      </c>
      <c r="F12" s="33">
        <f>$C$32*('E Balans VL '!L8+'E Balans VL '!N8)/100/3.6*1000000</f>
        <v>156.5191297082126</v>
      </c>
      <c r="G12" s="34"/>
      <c r="H12" s="33"/>
      <c r="I12" s="33"/>
      <c r="J12" s="33">
        <f>$C$32*('E Balans VL '!D8+'E Balans VL '!E8)/100/3.6*1000000</f>
        <v>0</v>
      </c>
      <c r="K12" s="33"/>
      <c r="L12" s="33"/>
      <c r="M12" s="33"/>
      <c r="N12" s="33">
        <f>$C$32*'E Balans VL '!Y8/100/3.6*1000000</f>
        <v>62.787755443025105</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3037.3910853123161</v>
      </c>
      <c r="C16" s="21">
        <f t="shared" ca="1" si="1"/>
        <v>0</v>
      </c>
      <c r="D16" s="21">
        <f t="shared" ca="1" si="1"/>
        <v>306.54580578817814</v>
      </c>
      <c r="E16" s="21">
        <f t="shared" si="1"/>
        <v>56.321566271028772</v>
      </c>
      <c r="F16" s="21">
        <f t="shared" ca="1" si="1"/>
        <v>609.08521726750814</v>
      </c>
      <c r="G16" s="21">
        <f t="shared" si="1"/>
        <v>0</v>
      </c>
      <c r="H16" s="21">
        <f t="shared" si="1"/>
        <v>0</v>
      </c>
      <c r="I16" s="21">
        <f t="shared" si="1"/>
        <v>0</v>
      </c>
      <c r="J16" s="21">
        <f t="shared" si="1"/>
        <v>0</v>
      </c>
      <c r="K16" s="21">
        <f t="shared" si="1"/>
        <v>0</v>
      </c>
      <c r="L16" s="21">
        <f t="shared" ca="1" si="1"/>
        <v>0</v>
      </c>
      <c r="M16" s="21">
        <f t="shared" si="1"/>
        <v>0</v>
      </c>
      <c r="N16" s="21">
        <f t="shared" ca="1" si="1"/>
        <v>100.72691384581833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0.20674922525021208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627.97825367022222</v>
      </c>
      <c r="C20" s="23">
        <f t="shared" ref="C20:P20" ca="1" si="2">C16*C18</f>
        <v>0</v>
      </c>
      <c r="D20" s="23">
        <f t="shared" ca="1" si="2"/>
        <v>61.922252769211987</v>
      </c>
      <c r="E20" s="23">
        <f t="shared" si="2"/>
        <v>12.784995543523532</v>
      </c>
      <c r="F20" s="23">
        <f t="shared" ca="1" si="2"/>
        <v>162.62575301042469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222.96440633277899</v>
      </c>
      <c r="C26" s="39">
        <f>IF(ISERROR(B26*3.6/1000000/'E Balans VL '!Z12*100),0,B26*3.6/1000000/'E Balans VL '!Z12*100)</f>
        <v>4.7358744327178322E-3</v>
      </c>
      <c r="D26" s="239" t="s">
        <v>692</v>
      </c>
      <c r="F26" s="6"/>
    </row>
    <row r="27" spans="1:18">
      <c r="A27" s="233" t="s">
        <v>53</v>
      </c>
      <c r="B27" s="33">
        <f>IF(ISERROR(TER_horeca_ele_kWh/1000),0,TER_horeca_ele_kWh/1000)</f>
        <v>430.77963752384403</v>
      </c>
      <c r="C27" s="39">
        <f>IF(ISERROR(B27*3.6/1000000/'E Balans VL '!Z9*100),0,B27*3.6/1000000/'E Balans VL '!Z9*100)</f>
        <v>3.3495740299199626E-2</v>
      </c>
      <c r="D27" s="239" t="s">
        <v>692</v>
      </c>
      <c r="F27" s="6"/>
    </row>
    <row r="28" spans="1:18">
      <c r="A28" s="173" t="s">
        <v>52</v>
      </c>
      <c r="B28" s="33">
        <f>IF(ISERROR(TER_handel_ele_kWh/1000),0,TER_handel_ele_kWh/1000)</f>
        <v>1478.77239026089</v>
      </c>
      <c r="C28" s="39">
        <f>IF(ISERROR(B28*3.6/1000000/'E Balans VL '!Z13*100),0,B28*3.6/1000000/'E Balans VL '!Z13*100)</f>
        <v>4.2309418426372251E-2</v>
      </c>
      <c r="D28" s="239" t="s">
        <v>692</v>
      </c>
      <c r="F28" s="6"/>
    </row>
    <row r="29" spans="1:18">
      <c r="A29" s="233" t="s">
        <v>51</v>
      </c>
      <c r="B29" s="33">
        <f>IF(ISERROR(TER_gezond_ele_kWh/1000),0,TER_gezond_ele_kWh/1000)</f>
        <v>0</v>
      </c>
      <c r="C29" s="39">
        <f>IF(ISERROR(B29*3.6/1000000/'E Balans VL '!Z10*100),0,B29*3.6/1000000/'E Balans VL '!Z10*100)</f>
        <v>0</v>
      </c>
      <c r="D29" s="239" t="s">
        <v>692</v>
      </c>
      <c r="F29" s="6"/>
    </row>
    <row r="30" spans="1:18">
      <c r="A30" s="233" t="s">
        <v>50</v>
      </c>
      <c r="B30" s="33">
        <f>IF(ISERROR(TER_ander_ele_kWh/1000),0,TER_ander_ele_kWh/1000)</f>
        <v>47.792558563165997</v>
      </c>
      <c r="C30" s="39">
        <f>IF(ISERROR(B30*3.6/1000000/'E Balans VL '!Z14*100),0,B30*3.6/1000000/'E Balans VL '!Z14*100)</f>
        <v>3.4973510208034099E-3</v>
      </c>
      <c r="D30" s="239" t="s">
        <v>692</v>
      </c>
      <c r="F30" s="6"/>
    </row>
    <row r="31" spans="1:18">
      <c r="A31" s="233" t="s">
        <v>55</v>
      </c>
      <c r="B31" s="33">
        <f>IF(ISERROR(TER_onderwijs_ele_kWh/1000),0,TER_onderwijs_ele_kWh/1000)</f>
        <v>66.107465249694101</v>
      </c>
      <c r="C31" s="39">
        <f>IF(ISERROR(B31*3.6/1000000/'E Balans VL '!Z11*100),0,B31*3.6/1000000/'E Balans VL '!Z11*100)</f>
        <v>1.3277733485451099E-2</v>
      </c>
      <c r="D31" s="239" t="s">
        <v>692</v>
      </c>
    </row>
    <row r="32" spans="1:18">
      <c r="A32" s="233" t="s">
        <v>260</v>
      </c>
      <c r="B32" s="33">
        <f>IF(ISERROR(TER_rest_ele_kWh/1000),0,TER_rest_ele_kWh/1000)</f>
        <v>790.97462738194304</v>
      </c>
      <c r="C32" s="39">
        <f>IF(ISERROR(B32*3.6/1000000/'E Balans VL '!Z8*100),0,B32*3.6/1000000/'E Balans VL '!Z8*100)</f>
        <v>6.4459631950508104E-3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325.71385677526808</v>
      </c>
      <c r="C5" s="17">
        <f>IF(ISERROR('Eigen informatie GS &amp; warmtenet'!B59),0,'Eigen informatie GS &amp; warmtenet'!B59)</f>
        <v>0</v>
      </c>
      <c r="D5" s="30">
        <f>SUM(D6:D15)</f>
        <v>0</v>
      </c>
      <c r="E5" s="17">
        <f>SUM(E6:E15)</f>
        <v>31.009796774266263</v>
      </c>
      <c r="F5" s="17">
        <f>SUM(F6:F15)</f>
        <v>102.32111260499607</v>
      </c>
      <c r="G5" s="18"/>
      <c r="H5" s="17"/>
      <c r="I5" s="17"/>
      <c r="J5" s="17">
        <f>SUM(J6:J15)</f>
        <v>0.68169037640914221</v>
      </c>
      <c r="K5" s="17"/>
      <c r="L5" s="17"/>
      <c r="M5" s="17"/>
      <c r="N5" s="17">
        <f>SUM(N6:N15)</f>
        <v>71.703200054278483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59.746767137349103</v>
      </c>
      <c r="C9" s="33"/>
      <c r="D9" s="37">
        <f>IF( ISERROR(IND_andere_gas_kWh/1000),0,IND_andere_gas_kWh/1000)*0.902</f>
        <v>0</v>
      </c>
      <c r="E9" s="33">
        <f>C31*'E Balans VL '!I19/100/3.6*1000000</f>
        <v>16.171980867900292</v>
      </c>
      <c r="F9" s="33">
        <f>C31*'E Balans VL '!L19/100/3.6*1000000+C31*'E Balans VL '!N19/100/3.6*1000000</f>
        <v>39.79766944215222</v>
      </c>
      <c r="G9" s="34"/>
      <c r="H9" s="33"/>
      <c r="I9" s="33"/>
      <c r="J9" s="40">
        <f>C31*'E Balans VL '!D19/100/3.6*1000000+C31*'E Balans VL '!E19/100/3.6*1000000</f>
        <v>0</v>
      </c>
      <c r="K9" s="33"/>
      <c r="L9" s="33"/>
      <c r="M9" s="33"/>
      <c r="N9" s="33">
        <f>C31*'E Balans VL '!Y19/100/3.6*1000000</f>
        <v>19.506326991575222</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265.967089637919</v>
      </c>
      <c r="C15" s="33"/>
      <c r="D15" s="37">
        <f>IF( ISERROR(IND_rest_gas_kWh/1000),0,IND_rest_gas_kWh/1000)*0.902</f>
        <v>0</v>
      </c>
      <c r="E15" s="33">
        <f>C37*'E Balans VL '!I15/100/3.6*1000000</f>
        <v>14.837815906365973</v>
      </c>
      <c r="F15" s="33">
        <f>C37*'E Balans VL '!L15/100/3.6*1000000+C37*'E Balans VL '!N15/100/3.6*1000000</f>
        <v>62.523443162843847</v>
      </c>
      <c r="G15" s="34"/>
      <c r="H15" s="33"/>
      <c r="I15" s="33"/>
      <c r="J15" s="40">
        <f>C37*'E Balans VL '!D15/100/3.6*1000000+C37*'E Balans VL '!E15/100/3.6*1000000</f>
        <v>0.68169037640914221</v>
      </c>
      <c r="K15" s="33"/>
      <c r="L15" s="33"/>
      <c r="M15" s="33"/>
      <c r="N15" s="33">
        <f>C37*'E Balans VL '!Y15/100/3.6*1000000</f>
        <v>52.196873062703268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325.71385677526808</v>
      </c>
      <c r="C18" s="21">
        <f>C5+C16</f>
        <v>0</v>
      </c>
      <c r="D18" s="21">
        <f>MAX((D5+D16),0)</f>
        <v>0</v>
      </c>
      <c r="E18" s="21">
        <f>MAX((E5+E16),0)</f>
        <v>31.009796774266263</v>
      </c>
      <c r="F18" s="21">
        <f>MAX((F5+F16),0)</f>
        <v>102.32111260499607</v>
      </c>
      <c r="G18" s="21"/>
      <c r="H18" s="21"/>
      <c r="I18" s="21"/>
      <c r="J18" s="21">
        <f>MAX((J5+J16),0)</f>
        <v>0.68169037640914221</v>
      </c>
      <c r="K18" s="21"/>
      <c r="L18" s="21">
        <f>MAX((L5+L16),0)</f>
        <v>0</v>
      </c>
      <c r="M18" s="21"/>
      <c r="N18" s="21">
        <f>MAX((N5+N16),0)</f>
        <v>71.703200054278483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0.20674922525021208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67.341087541545221</v>
      </c>
      <c r="C22" s="23">
        <f ca="1">C18*C20</f>
        <v>0</v>
      </c>
      <c r="D22" s="23">
        <f>D18*D20</f>
        <v>0</v>
      </c>
      <c r="E22" s="23">
        <f>E18*E20</f>
        <v>7.0392238677584418</v>
      </c>
      <c r="F22" s="23">
        <f>F18*F20</f>
        <v>27.319737065533953</v>
      </c>
      <c r="G22" s="23"/>
      <c r="H22" s="23"/>
      <c r="I22" s="23"/>
      <c r="J22" s="23">
        <f>J18*J20</f>
        <v>0.24131839324883633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59.746767137349103</v>
      </c>
      <c r="C31" s="39">
        <f>IF(ISERROR(B31*3.6/1000000/'E Balans VL '!Z19*100),0,B31*3.6/1000000/'E Balans VL '!Z19*100)</f>
        <v>2.6019240493048851E-3</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265.967089637919</v>
      </c>
      <c r="C37" s="39">
        <f>IF(ISERROR(B37*3.6/1000000/'E Balans VL '!Z15*100),0,B37*3.6/1000000/'E Balans VL '!Z15*100)</f>
        <v>2.0496031005832684E-3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981.90106619492838</v>
      </c>
      <c r="C5" s="17">
        <f>'Eigen informatie GS &amp; warmtenet'!B60</f>
        <v>0</v>
      </c>
      <c r="D5" s="30">
        <f>IF(ISERROR(SUM(LB_lb_gas_kWh,LB_rest_gas_kWh)/1000),0,SUM(LB_lb_gas_kWh,LB_rest_gas_kWh)/1000)*0.902</f>
        <v>1218.2433158509675</v>
      </c>
      <c r="E5" s="17">
        <f>B17*'E Balans VL '!I25/3.6*1000000/100</f>
        <v>12.373218379818859</v>
      </c>
      <c r="F5" s="17">
        <f>B17*('E Balans VL '!L25/3.6*1000000+'E Balans VL '!N25/3.6*1000000)/100</f>
        <v>3387.8046592875471</v>
      </c>
      <c r="G5" s="18"/>
      <c r="H5" s="17"/>
      <c r="I5" s="17"/>
      <c r="J5" s="17">
        <f>('E Balans VL '!D25+'E Balans VL '!E25)/3.6*1000000*landbouw!B17/100</f>
        <v>147.66675849833535</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981.90106619492838</v>
      </c>
      <c r="C8" s="21">
        <f>C5+C6</f>
        <v>0</v>
      </c>
      <c r="D8" s="21">
        <f>MAX((D5+D6),0)</f>
        <v>1218.2433158509675</v>
      </c>
      <c r="E8" s="21">
        <f>MAX((E5+E6),0)</f>
        <v>12.373218379818859</v>
      </c>
      <c r="F8" s="21">
        <f>MAX((F5+F6),0)</f>
        <v>3387.8046592875471</v>
      </c>
      <c r="G8" s="21"/>
      <c r="H8" s="21"/>
      <c r="I8" s="21"/>
      <c r="J8" s="21">
        <f>MAX((J5+J6),0)</f>
        <v>147.66675849833535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0.20674922525021208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203.00728470815866</v>
      </c>
      <c r="C12" s="23">
        <f ca="1">C8*C10</f>
        <v>0</v>
      </c>
      <c r="D12" s="23">
        <f>D8*D10</f>
        <v>246.08514980189545</v>
      </c>
      <c r="E12" s="23">
        <f>E8*E10</f>
        <v>2.8087205722188808</v>
      </c>
      <c r="F12" s="23">
        <f>F8*F10</f>
        <v>904.54384402977507</v>
      </c>
      <c r="G12" s="23"/>
      <c r="H12" s="23"/>
      <c r="I12" s="23"/>
      <c r="J12" s="23">
        <f>J8*J10</f>
        <v>52.274032508410713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0.13694425100898699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157.78035355729523</v>
      </c>
      <c r="C26" s="249">
        <f>B26*'GWP N2O_CH4'!B5</f>
        <v>3313.3874247031999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90.720810040386013</v>
      </c>
      <c r="C27" s="249">
        <f>B27*'GWP N2O_CH4'!B5</f>
        <v>1905.1370108481062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2.2830316298086246</v>
      </c>
      <c r="C28" s="249">
        <f>B28*'GWP N2O_CH4'!B4</f>
        <v>707.7398052406736</v>
      </c>
      <c r="D28" s="50"/>
    </row>
    <row r="29" spans="1:4">
      <c r="A29" s="41" t="s">
        <v>277</v>
      </c>
      <c r="B29" s="249">
        <f>B34*'ha_N2O bodem landbouw'!B4</f>
        <v>2.83535309810296</v>
      </c>
      <c r="C29" s="249">
        <f>B29*'GWP N2O_CH4'!B4</f>
        <v>878.95946041191758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7.0795933695741084E-4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1.2316742135860498E-6</v>
      </c>
      <c r="C5" s="448" t="s">
        <v>211</v>
      </c>
      <c r="D5" s="433">
        <f>SUM(D6:D11)</f>
        <v>2.1246288646688977E-6</v>
      </c>
      <c r="E5" s="433">
        <f>SUM(E6:E11)</f>
        <v>6.457833638400567E-5</v>
      </c>
      <c r="F5" s="446" t="s">
        <v>211</v>
      </c>
      <c r="G5" s="433">
        <f>SUM(G6:G11)</f>
        <v>1.8593315354893725E-2</v>
      </c>
      <c r="H5" s="433">
        <f>SUM(H6:H11)</f>
        <v>3.1701000957690185E-3</v>
      </c>
      <c r="I5" s="448" t="s">
        <v>211</v>
      </c>
      <c r="J5" s="448" t="s">
        <v>211</v>
      </c>
      <c r="K5" s="448" t="s">
        <v>211</v>
      </c>
      <c r="L5" s="448" t="s">
        <v>211</v>
      </c>
      <c r="M5" s="433">
        <f>SUM(M6:M11)</f>
        <v>9.8374964703598351E-4</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8.8803144351323392E-7</v>
      </c>
      <c r="C6" s="887"/>
      <c r="D6" s="887">
        <f>vkm_2011_GW_PW*SUMIFS(TableVerdeelsleutelVkm[CNG],TableVerdeelsleutelVkm[Voertuigtype],"Lichte voertuigen")*SUMIFS(TableECFTransport[EnergieConsumptieFactor (PJ per km)],TableECFTransport[Index],CONCATENATE($A6,"_CNG_CNG"))</f>
        <v>1.2576262057501092E-6</v>
      </c>
      <c r="E6" s="887">
        <f>vkm_2011_GW_PW*SUMIFS(TableVerdeelsleutelVkm[LPG],TableVerdeelsleutelVkm[Voertuigtype],"Lichte voertuigen")*SUMIFS(TableECFTransport[EnergieConsumptieFactor (PJ per km)],TableECFTransport[Index],CONCATENATE($A6,"_LPG_LPG"))</f>
        <v>3.9497898907839072E-5</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7.0988539667563256E-3</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1.9021950420485482E-3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4.0723621798201834E-4</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6.8517340973424865E-3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2.4343500944857255E-6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3.0919707557030104E-4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3.4364277007281578E-7</v>
      </c>
      <c r="C8" s="887"/>
      <c r="D8" s="436">
        <f>vkm_2011_NGW_PW*SUMIFS(TableVerdeelsleutelVkm[CNG],TableVerdeelsleutelVkm[Voertuigtype],"Lichte voertuigen")*SUMIFS(TableECFTransport[EnergieConsumptieFactor (PJ per km)],TableECFTransport[Index],CONCATENATE($A8,"_CNG_CNG"))</f>
        <v>8.6700265891878842E-7</v>
      </c>
      <c r="E8" s="436">
        <f>vkm_2011_NGW_PW*SUMIFS(TableVerdeelsleutelVkm[LPG],TableVerdeelsleutelVkm[Voertuigtype],"Lichte voertuigen")*SUMIFS(TableECFTransport[EnergieConsumptieFactor (PJ per km)],TableECFTransport[Index],CONCATENATE($A8,"_LPG_LPG"))</f>
        <v>2.5080437476166597E-5</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4.2513773571270924E-3</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1.265339128891606E-3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2.4965631107906784E-4</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3.9134993366781958E-4</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1.3157473437841827E-7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1.7660042404596172E-5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0.3421317259961249</v>
      </c>
      <c r="C14" s="21"/>
      <c r="D14" s="21">
        <f t="shared" ref="D14:M14" si="0">((D5)*10^9/3600)+D12</f>
        <v>0.59017468463024936</v>
      </c>
      <c r="E14" s="21">
        <f t="shared" si="0"/>
        <v>17.938426773334907</v>
      </c>
      <c r="F14" s="21"/>
      <c r="G14" s="21">
        <f t="shared" si="0"/>
        <v>5164.8098208038127</v>
      </c>
      <c r="H14" s="21">
        <f t="shared" si="0"/>
        <v>880.58335993583842</v>
      </c>
      <c r="I14" s="21"/>
      <c r="J14" s="21"/>
      <c r="K14" s="21"/>
      <c r="L14" s="21"/>
      <c r="M14" s="21">
        <f t="shared" si="0"/>
        <v>273.26379084332876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0.20674922525021208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7.0735469283216668E-2</v>
      </c>
      <c r="C18" s="23"/>
      <c r="D18" s="23">
        <f t="shared" ref="D18:M18" si="1">D14*D16</f>
        <v>0.11921528629531038</v>
      </c>
      <c r="E18" s="23">
        <f t="shared" si="1"/>
        <v>4.072022877547024</v>
      </c>
      <c r="F18" s="23"/>
      <c r="G18" s="23">
        <f t="shared" si="1"/>
        <v>1379.004222154618</v>
      </c>
      <c r="H18" s="23">
        <f t="shared" si="1"/>
        <v>219.26525662402378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3.258836354958285E-4</v>
      </c>
      <c r="H50" s="323">
        <f t="shared" si="2"/>
        <v>0</v>
      </c>
      <c r="I50" s="323">
        <f t="shared" si="2"/>
        <v>0</v>
      </c>
      <c r="J50" s="323">
        <f t="shared" si="2"/>
        <v>0</v>
      </c>
      <c r="K50" s="323">
        <f t="shared" si="2"/>
        <v>0</v>
      </c>
      <c r="L50" s="323">
        <f t="shared" si="2"/>
        <v>0</v>
      </c>
      <c r="M50" s="323">
        <f t="shared" si="2"/>
        <v>1.4492842354621002E-5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3.258836354958285E-4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1.4492842354621002E-5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90.523232082174587</v>
      </c>
      <c r="H54" s="21">
        <f t="shared" si="3"/>
        <v>0</v>
      </c>
      <c r="I54" s="21">
        <f t="shared" si="3"/>
        <v>0</v>
      </c>
      <c r="J54" s="21">
        <f t="shared" si="3"/>
        <v>0</v>
      </c>
      <c r="K54" s="21">
        <f t="shared" si="3"/>
        <v>0</v>
      </c>
      <c r="L54" s="21">
        <f t="shared" si="3"/>
        <v>0</v>
      </c>
      <c r="M54" s="21">
        <f t="shared" si="3"/>
        <v>4.0257895429502781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0.20674922525021208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24.169702965940616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3211.8420853123162</v>
      </c>
      <c r="D10" s="690">
        <f ca="1">tertiair!C16</f>
        <v>0</v>
      </c>
      <c r="E10" s="690">
        <f ca="1">tertiair!D16</f>
        <v>306.54580578817814</v>
      </c>
      <c r="F10" s="690">
        <f>tertiair!E16</f>
        <v>56.321566271028772</v>
      </c>
      <c r="G10" s="690">
        <f ca="1">tertiair!F16</f>
        <v>609.08521726750814</v>
      </c>
      <c r="H10" s="690">
        <f>tertiair!G16</f>
        <v>0</v>
      </c>
      <c r="I10" s="690">
        <f>tertiair!H16</f>
        <v>0</v>
      </c>
      <c r="J10" s="690">
        <f>tertiair!I16</f>
        <v>0</v>
      </c>
      <c r="K10" s="690">
        <f>tertiair!J16</f>
        <v>0</v>
      </c>
      <c r="L10" s="690">
        <f>tertiair!K16</f>
        <v>0</v>
      </c>
      <c r="M10" s="690">
        <f ca="1">tertiair!L16</f>
        <v>0</v>
      </c>
      <c r="N10" s="690">
        <f>tertiair!M16</f>
        <v>0</v>
      </c>
      <c r="O10" s="690">
        <f ca="1">tertiair!N16</f>
        <v>100.72691384581833</v>
      </c>
      <c r="P10" s="690">
        <f>tertiair!O16</f>
        <v>0</v>
      </c>
      <c r="Q10" s="691">
        <f>tertiair!P16</f>
        <v>0</v>
      </c>
      <c r="R10" s="693">
        <f ca="1">SUM(C10:Q10)</f>
        <v>4284.5215884848503</v>
      </c>
      <c r="S10" s="67"/>
    </row>
    <row r="11" spans="1:19" s="458" customFormat="1">
      <c r="A11" s="805" t="s">
        <v>225</v>
      </c>
      <c r="B11" s="810"/>
      <c r="C11" s="690">
        <f>huishoudens!B8</f>
        <v>4886.4944910978402</v>
      </c>
      <c r="D11" s="690">
        <f>huishoudens!C8</f>
        <v>0</v>
      </c>
      <c r="E11" s="690">
        <f>huishoudens!D8</f>
        <v>22964.086235065821</v>
      </c>
      <c r="F11" s="690">
        <f>huishoudens!E8</f>
        <v>0</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0</v>
      </c>
      <c r="P11" s="690">
        <f>huishoudens!O8</f>
        <v>17.196666666666669</v>
      </c>
      <c r="Q11" s="691">
        <f>huishoudens!P8</f>
        <v>209.73333333333335</v>
      </c>
      <c r="R11" s="693">
        <f>SUM(C11:Q11)</f>
        <v>28077.510726163662</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325.71385677526808</v>
      </c>
      <c r="D13" s="690">
        <f>industrie!C18</f>
        <v>0</v>
      </c>
      <c r="E13" s="690">
        <f>industrie!D18</f>
        <v>0</v>
      </c>
      <c r="F13" s="690">
        <f>industrie!E18</f>
        <v>31.009796774266263</v>
      </c>
      <c r="G13" s="690">
        <f>industrie!F18</f>
        <v>102.32111260499607</v>
      </c>
      <c r="H13" s="690">
        <f>industrie!G18</f>
        <v>0</v>
      </c>
      <c r="I13" s="690">
        <f>industrie!H18</f>
        <v>0</v>
      </c>
      <c r="J13" s="690">
        <f>industrie!I18</f>
        <v>0</v>
      </c>
      <c r="K13" s="690">
        <f>industrie!J18</f>
        <v>0.68169037640914221</v>
      </c>
      <c r="L13" s="690">
        <f>industrie!K18</f>
        <v>0</v>
      </c>
      <c r="M13" s="690">
        <f>industrie!L18</f>
        <v>0</v>
      </c>
      <c r="N13" s="690">
        <f>industrie!M18</f>
        <v>0</v>
      </c>
      <c r="O13" s="690">
        <f>industrie!N18</f>
        <v>71.703200054278483</v>
      </c>
      <c r="P13" s="690">
        <f>industrie!O18</f>
        <v>0</v>
      </c>
      <c r="Q13" s="691">
        <f>industrie!P18</f>
        <v>0</v>
      </c>
      <c r="R13" s="693">
        <f>SUM(C13:Q13)</f>
        <v>531.42965658521803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8424.0504331854245</v>
      </c>
      <c r="D16" s="725">
        <f t="shared" ref="D16:R16" ca="1" si="0">SUM(D9:D15)</f>
        <v>0</v>
      </c>
      <c r="E16" s="725">
        <f t="shared" ca="1" si="0"/>
        <v>23270.632040853998</v>
      </c>
      <c r="F16" s="725">
        <f t="shared" si="0"/>
        <v>87.331363045295035</v>
      </c>
      <c r="G16" s="725">
        <f t="shared" ca="1" si="0"/>
        <v>711.40632987250422</v>
      </c>
      <c r="H16" s="725">
        <f t="shared" si="0"/>
        <v>0</v>
      </c>
      <c r="I16" s="725">
        <f t="shared" si="0"/>
        <v>0</v>
      </c>
      <c r="J16" s="725">
        <f t="shared" si="0"/>
        <v>0</v>
      </c>
      <c r="K16" s="725">
        <f t="shared" si="0"/>
        <v>0.68169037640914221</v>
      </c>
      <c r="L16" s="725">
        <f t="shared" si="0"/>
        <v>0</v>
      </c>
      <c r="M16" s="725">
        <f t="shared" ca="1" si="0"/>
        <v>0</v>
      </c>
      <c r="N16" s="725">
        <f t="shared" si="0"/>
        <v>0</v>
      </c>
      <c r="O16" s="725">
        <f t="shared" ca="1" si="0"/>
        <v>172.43011390009681</v>
      </c>
      <c r="P16" s="725">
        <f t="shared" si="0"/>
        <v>17.196666666666669</v>
      </c>
      <c r="Q16" s="725">
        <f t="shared" si="0"/>
        <v>209.73333333333335</v>
      </c>
      <c r="R16" s="725">
        <f t="shared" ca="1" si="0"/>
        <v>32893.46197123373</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90.523232082174587</v>
      </c>
      <c r="I19" s="690">
        <f>transport!H54</f>
        <v>0</v>
      </c>
      <c r="J19" s="690">
        <f>transport!I54</f>
        <v>0</v>
      </c>
      <c r="K19" s="690">
        <f>transport!J54</f>
        <v>0</v>
      </c>
      <c r="L19" s="690">
        <f>transport!K54</f>
        <v>0</v>
      </c>
      <c r="M19" s="690">
        <f>transport!L54</f>
        <v>0</v>
      </c>
      <c r="N19" s="690">
        <f>transport!M54</f>
        <v>4.0257895429502781</v>
      </c>
      <c r="O19" s="690">
        <f>transport!N54</f>
        <v>0</v>
      </c>
      <c r="P19" s="690">
        <f>transport!O54</f>
        <v>0</v>
      </c>
      <c r="Q19" s="691">
        <f>transport!P54</f>
        <v>0</v>
      </c>
      <c r="R19" s="693">
        <f>SUM(C19:Q19)</f>
        <v>94.549021625124865</v>
      </c>
      <c r="S19" s="67"/>
    </row>
    <row r="20" spans="1:19" s="458" customFormat="1">
      <c r="A20" s="805" t="s">
        <v>307</v>
      </c>
      <c r="B20" s="810"/>
      <c r="C20" s="690">
        <f>transport!B14</f>
        <v>0.3421317259961249</v>
      </c>
      <c r="D20" s="690">
        <f>transport!C14</f>
        <v>0</v>
      </c>
      <c r="E20" s="690">
        <f>transport!D14</f>
        <v>0.59017468463024936</v>
      </c>
      <c r="F20" s="690">
        <f>transport!E14</f>
        <v>17.938426773334907</v>
      </c>
      <c r="G20" s="690">
        <f>transport!F14</f>
        <v>0</v>
      </c>
      <c r="H20" s="690">
        <f>transport!G14</f>
        <v>5164.8098208038127</v>
      </c>
      <c r="I20" s="690">
        <f>transport!H14</f>
        <v>880.58335993583842</v>
      </c>
      <c r="J20" s="690">
        <f>transport!I14</f>
        <v>0</v>
      </c>
      <c r="K20" s="690">
        <f>transport!J14</f>
        <v>0</v>
      </c>
      <c r="L20" s="690">
        <f>transport!K14</f>
        <v>0</v>
      </c>
      <c r="M20" s="690">
        <f>transport!L14</f>
        <v>0</v>
      </c>
      <c r="N20" s="690">
        <f>transport!M14</f>
        <v>273.26379084332876</v>
      </c>
      <c r="O20" s="690">
        <f>transport!N14</f>
        <v>0</v>
      </c>
      <c r="P20" s="690">
        <f>transport!O14</f>
        <v>0</v>
      </c>
      <c r="Q20" s="691">
        <f>transport!P14</f>
        <v>0</v>
      </c>
      <c r="R20" s="693">
        <f>SUM(C20:Q20)</f>
        <v>6337.5277047669415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0.3421317259961249</v>
      </c>
      <c r="D22" s="808">
        <f t="shared" ref="D22:R22" si="1">SUM(D18:D21)</f>
        <v>0</v>
      </c>
      <c r="E22" s="808">
        <f t="shared" si="1"/>
        <v>0.59017468463024936</v>
      </c>
      <c r="F22" s="808">
        <f t="shared" si="1"/>
        <v>17.938426773334907</v>
      </c>
      <c r="G22" s="808">
        <f t="shared" si="1"/>
        <v>0</v>
      </c>
      <c r="H22" s="808">
        <f t="shared" si="1"/>
        <v>5255.3330528859869</v>
      </c>
      <c r="I22" s="808">
        <f t="shared" si="1"/>
        <v>880.58335993583842</v>
      </c>
      <c r="J22" s="808">
        <f t="shared" si="1"/>
        <v>0</v>
      </c>
      <c r="K22" s="808">
        <f t="shared" si="1"/>
        <v>0</v>
      </c>
      <c r="L22" s="808">
        <f t="shared" si="1"/>
        <v>0</v>
      </c>
      <c r="M22" s="808">
        <f t="shared" si="1"/>
        <v>0</v>
      </c>
      <c r="N22" s="808">
        <f t="shared" si="1"/>
        <v>277.28958038627906</v>
      </c>
      <c r="O22" s="808">
        <f t="shared" si="1"/>
        <v>0</v>
      </c>
      <c r="P22" s="808">
        <f t="shared" si="1"/>
        <v>0</v>
      </c>
      <c r="Q22" s="808">
        <f t="shared" si="1"/>
        <v>0</v>
      </c>
      <c r="R22" s="808">
        <f t="shared" si="1"/>
        <v>6432.0767263920661</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981.90106619492838</v>
      </c>
      <c r="D24" s="690">
        <f>+landbouw!C8</f>
        <v>0</v>
      </c>
      <c r="E24" s="690">
        <f>+landbouw!D8</f>
        <v>1218.2433158509675</v>
      </c>
      <c r="F24" s="690">
        <f>+landbouw!E8</f>
        <v>12.373218379818859</v>
      </c>
      <c r="G24" s="690">
        <f>+landbouw!F8</f>
        <v>3387.8046592875471</v>
      </c>
      <c r="H24" s="690">
        <f>+landbouw!G8</f>
        <v>0</v>
      </c>
      <c r="I24" s="690">
        <f>+landbouw!H8</f>
        <v>0</v>
      </c>
      <c r="J24" s="690">
        <f>+landbouw!I8</f>
        <v>0</v>
      </c>
      <c r="K24" s="690">
        <f>+landbouw!J8</f>
        <v>147.66675849833535</v>
      </c>
      <c r="L24" s="690">
        <f>+landbouw!K8</f>
        <v>0</v>
      </c>
      <c r="M24" s="690">
        <f>+landbouw!L8</f>
        <v>0</v>
      </c>
      <c r="N24" s="690">
        <f>+landbouw!M8</f>
        <v>0</v>
      </c>
      <c r="O24" s="690">
        <f>+landbouw!N8</f>
        <v>0</v>
      </c>
      <c r="P24" s="690">
        <f>+landbouw!O8</f>
        <v>0</v>
      </c>
      <c r="Q24" s="691">
        <f>+landbouw!P8</f>
        <v>0</v>
      </c>
      <c r="R24" s="693">
        <f>SUM(C24:Q24)</f>
        <v>5747.9890182115969</v>
      </c>
      <c r="S24" s="67"/>
    </row>
    <row r="25" spans="1:19" s="458" customFormat="1" ht="15" thickBot="1">
      <c r="A25" s="827" t="s">
        <v>872</v>
      </c>
      <c r="B25" s="1004"/>
      <c r="C25" s="1005">
        <f>IF(Onbekend_ele_kWh="---",0,Onbekend_ele_kWh)/1000+IF(REST_rest_ele_kWh="---",0,REST_rest_ele_kWh)/1000</f>
        <v>354.654179964072</v>
      </c>
      <c r="D25" s="1005"/>
      <c r="E25" s="1005">
        <f>IF(onbekend_gas_kWh="---",0,onbekend_gas_kWh)/1000+IF(REST_rest_gas_kWh="---",0,REST_rest_gas_kWh)/1000</f>
        <v>39.775375874201004</v>
      </c>
      <c r="F25" s="1005"/>
      <c r="G25" s="1005"/>
      <c r="H25" s="1005"/>
      <c r="I25" s="1005"/>
      <c r="J25" s="1005"/>
      <c r="K25" s="1005"/>
      <c r="L25" s="1005"/>
      <c r="M25" s="1005"/>
      <c r="N25" s="1005"/>
      <c r="O25" s="1005"/>
      <c r="P25" s="1005"/>
      <c r="Q25" s="1006"/>
      <c r="R25" s="693">
        <f>SUM(C25:Q25)</f>
        <v>394.42955583827302</v>
      </c>
      <c r="S25" s="67"/>
    </row>
    <row r="26" spans="1:19" s="458" customFormat="1" ht="15.75" thickBot="1">
      <c r="A26" s="698" t="s">
        <v>873</v>
      </c>
      <c r="B26" s="813"/>
      <c r="C26" s="808">
        <f>SUM(C24:C25)</f>
        <v>1336.5552461590005</v>
      </c>
      <c r="D26" s="808">
        <f t="shared" ref="D26:R26" si="2">SUM(D24:D25)</f>
        <v>0</v>
      </c>
      <c r="E26" s="808">
        <f t="shared" si="2"/>
        <v>1258.0186917251685</v>
      </c>
      <c r="F26" s="808">
        <f t="shared" si="2"/>
        <v>12.373218379818859</v>
      </c>
      <c r="G26" s="808">
        <f t="shared" si="2"/>
        <v>3387.8046592875471</v>
      </c>
      <c r="H26" s="808">
        <f t="shared" si="2"/>
        <v>0</v>
      </c>
      <c r="I26" s="808">
        <f t="shared" si="2"/>
        <v>0</v>
      </c>
      <c r="J26" s="808">
        <f t="shared" si="2"/>
        <v>0</v>
      </c>
      <c r="K26" s="808">
        <f t="shared" si="2"/>
        <v>147.66675849833535</v>
      </c>
      <c r="L26" s="808">
        <f t="shared" si="2"/>
        <v>0</v>
      </c>
      <c r="M26" s="808">
        <f t="shared" si="2"/>
        <v>0</v>
      </c>
      <c r="N26" s="808">
        <f t="shared" si="2"/>
        <v>0</v>
      </c>
      <c r="O26" s="808">
        <f t="shared" si="2"/>
        <v>0</v>
      </c>
      <c r="P26" s="808">
        <f t="shared" si="2"/>
        <v>0</v>
      </c>
      <c r="Q26" s="808">
        <f t="shared" si="2"/>
        <v>0</v>
      </c>
      <c r="R26" s="808">
        <f t="shared" si="2"/>
        <v>6142.4185740498697</v>
      </c>
      <c r="S26" s="67"/>
    </row>
    <row r="27" spans="1:19" s="458" customFormat="1" ht="17.25" thickTop="1" thickBot="1">
      <c r="A27" s="699" t="s">
        <v>116</v>
      </c>
      <c r="B27" s="800"/>
      <c r="C27" s="700">
        <f ca="1">C22+C16+C26</f>
        <v>9760.9478110704222</v>
      </c>
      <c r="D27" s="700">
        <f t="shared" ref="D27:R27" ca="1" si="3">D22+D16+D26</f>
        <v>0</v>
      </c>
      <c r="E27" s="700">
        <f t="shared" ca="1" si="3"/>
        <v>24529.240907263797</v>
      </c>
      <c r="F27" s="700">
        <f t="shared" si="3"/>
        <v>117.6430081984488</v>
      </c>
      <c r="G27" s="700">
        <f t="shared" ca="1" si="3"/>
        <v>4099.2109891600512</v>
      </c>
      <c r="H27" s="700">
        <f t="shared" si="3"/>
        <v>5255.3330528859869</v>
      </c>
      <c r="I27" s="700">
        <f t="shared" si="3"/>
        <v>880.58335993583842</v>
      </c>
      <c r="J27" s="700">
        <f t="shared" si="3"/>
        <v>0</v>
      </c>
      <c r="K27" s="700">
        <f t="shared" si="3"/>
        <v>148.34844887474449</v>
      </c>
      <c r="L27" s="700">
        <f t="shared" si="3"/>
        <v>0</v>
      </c>
      <c r="M27" s="700">
        <f t="shared" ca="1" si="3"/>
        <v>0</v>
      </c>
      <c r="N27" s="700">
        <f t="shared" si="3"/>
        <v>277.28958038627906</v>
      </c>
      <c r="O27" s="700">
        <f t="shared" ca="1" si="3"/>
        <v>172.43011390009681</v>
      </c>
      <c r="P27" s="700">
        <f t="shared" si="3"/>
        <v>17.196666666666669</v>
      </c>
      <c r="Q27" s="700">
        <f t="shared" si="3"/>
        <v>209.73333333333335</v>
      </c>
      <c r="R27" s="700">
        <f t="shared" ca="1" si="3"/>
        <v>45467.957271675667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664.04586276434702</v>
      </c>
      <c r="D40" s="690">
        <f ca="1">tertiair!C20</f>
        <v>0</v>
      </c>
      <c r="E40" s="690">
        <f ca="1">tertiair!D20</f>
        <v>61.922252769211987</v>
      </c>
      <c r="F40" s="690">
        <f>tertiair!E20</f>
        <v>12.784995543523532</v>
      </c>
      <c r="G40" s="690">
        <f ca="1">tertiair!F20</f>
        <v>162.62575301042469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901.37886408750728</v>
      </c>
    </row>
    <row r="41" spans="1:18">
      <c r="A41" s="818" t="s">
        <v>225</v>
      </c>
      <c r="B41" s="825"/>
      <c r="C41" s="690">
        <f ca="1">huishoudens!B12</f>
        <v>1010.2789502239078</v>
      </c>
      <c r="D41" s="690">
        <f ca="1">huishoudens!C12</f>
        <v>0</v>
      </c>
      <c r="E41" s="690">
        <f>huishoudens!D12</f>
        <v>4638.7454194832962</v>
      </c>
      <c r="F41" s="690">
        <f>huishoudens!E12</f>
        <v>0</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5649.0243697072037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67.341087541545221</v>
      </c>
      <c r="D43" s="690">
        <f ca="1">industrie!C22</f>
        <v>0</v>
      </c>
      <c r="E43" s="690">
        <f>industrie!D22</f>
        <v>0</v>
      </c>
      <c r="F43" s="690">
        <f>industrie!E22</f>
        <v>7.0392238677584418</v>
      </c>
      <c r="G43" s="690">
        <f>industrie!F22</f>
        <v>27.319737065533953</v>
      </c>
      <c r="H43" s="690">
        <f>industrie!G22</f>
        <v>0</v>
      </c>
      <c r="I43" s="690">
        <f>industrie!H22</f>
        <v>0</v>
      </c>
      <c r="J43" s="690">
        <f>industrie!I22</f>
        <v>0</v>
      </c>
      <c r="K43" s="690">
        <f>industrie!J22</f>
        <v>0.24131839324883633</v>
      </c>
      <c r="L43" s="690">
        <f>industrie!K22</f>
        <v>0</v>
      </c>
      <c r="M43" s="690">
        <f>industrie!L22</f>
        <v>0</v>
      </c>
      <c r="N43" s="690">
        <f>industrie!M22</f>
        <v>0</v>
      </c>
      <c r="O43" s="690">
        <f>industrie!N22</f>
        <v>0</v>
      </c>
      <c r="P43" s="690">
        <f>industrie!O22</f>
        <v>0</v>
      </c>
      <c r="Q43" s="767">
        <f>industrie!P22</f>
        <v>0</v>
      </c>
      <c r="R43" s="845">
        <f t="shared" ca="1" si="4"/>
        <v>101.94136686808645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1741.6659005298002</v>
      </c>
      <c r="D46" s="725">
        <f t="shared" ref="D46:Q46" ca="1" si="5">SUM(D39:D45)</f>
        <v>0</v>
      </c>
      <c r="E46" s="725">
        <f t="shared" ca="1" si="5"/>
        <v>4700.6676722525081</v>
      </c>
      <c r="F46" s="725">
        <f t="shared" si="5"/>
        <v>19.824219411281973</v>
      </c>
      <c r="G46" s="725">
        <f t="shared" ca="1" si="5"/>
        <v>189.94549007595865</v>
      </c>
      <c r="H46" s="725">
        <f t="shared" si="5"/>
        <v>0</v>
      </c>
      <c r="I46" s="725">
        <f t="shared" si="5"/>
        <v>0</v>
      </c>
      <c r="J46" s="725">
        <f t="shared" si="5"/>
        <v>0</v>
      </c>
      <c r="K46" s="725">
        <f t="shared" si="5"/>
        <v>0.24131839324883633</v>
      </c>
      <c r="L46" s="725">
        <f t="shared" si="5"/>
        <v>0</v>
      </c>
      <c r="M46" s="725">
        <f t="shared" ca="1" si="5"/>
        <v>0</v>
      </c>
      <c r="N46" s="725">
        <f t="shared" si="5"/>
        <v>0</v>
      </c>
      <c r="O46" s="725">
        <f t="shared" ca="1" si="5"/>
        <v>0</v>
      </c>
      <c r="P46" s="725">
        <f t="shared" si="5"/>
        <v>0</v>
      </c>
      <c r="Q46" s="725">
        <f t="shared" si="5"/>
        <v>0</v>
      </c>
      <c r="R46" s="725">
        <f ca="1">SUM(R39:R45)</f>
        <v>6652.3446006627973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24.169702965940616</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24.169702965940616</v>
      </c>
    </row>
    <row r="50" spans="1:18">
      <c r="A50" s="821" t="s">
        <v>307</v>
      </c>
      <c r="B50" s="831"/>
      <c r="C50" s="696">
        <f ca="1">transport!B18</f>
        <v>7.0735469283216668E-2</v>
      </c>
      <c r="D50" s="696">
        <f>transport!C18</f>
        <v>0</v>
      </c>
      <c r="E50" s="696">
        <f>transport!D18</f>
        <v>0.11921528629531038</v>
      </c>
      <c r="F50" s="696">
        <f>transport!E18</f>
        <v>4.072022877547024</v>
      </c>
      <c r="G50" s="696">
        <f>transport!F18</f>
        <v>0</v>
      </c>
      <c r="H50" s="696">
        <f>transport!G18</f>
        <v>1379.004222154618</v>
      </c>
      <c r="I50" s="696">
        <f>transport!H18</f>
        <v>219.26525662402378</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1602.5314524117673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7.0735469283216668E-2</v>
      </c>
      <c r="D52" s="725">
        <f t="shared" ref="D52:Q52" ca="1" si="6">SUM(D48:D51)</f>
        <v>0</v>
      </c>
      <c r="E52" s="725">
        <f t="shared" si="6"/>
        <v>0.11921528629531038</v>
      </c>
      <c r="F52" s="725">
        <f t="shared" si="6"/>
        <v>4.072022877547024</v>
      </c>
      <c r="G52" s="725">
        <f t="shared" si="6"/>
        <v>0</v>
      </c>
      <c r="H52" s="725">
        <f t="shared" si="6"/>
        <v>1403.1739251205586</v>
      </c>
      <c r="I52" s="725">
        <f t="shared" si="6"/>
        <v>219.26525662402378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1626.7011553777079</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203.00728470815866</v>
      </c>
      <c r="D54" s="696">
        <f ca="1">+landbouw!C12</f>
        <v>0</v>
      </c>
      <c r="E54" s="696">
        <f>+landbouw!D12</f>
        <v>246.08514980189545</v>
      </c>
      <c r="F54" s="696">
        <f>+landbouw!E12</f>
        <v>2.8087205722188808</v>
      </c>
      <c r="G54" s="696">
        <f>+landbouw!F12</f>
        <v>904.54384402977507</v>
      </c>
      <c r="H54" s="696">
        <f>+landbouw!G12</f>
        <v>0</v>
      </c>
      <c r="I54" s="696">
        <f>+landbouw!H12</f>
        <v>0</v>
      </c>
      <c r="J54" s="696">
        <f>+landbouw!I12</f>
        <v>0</v>
      </c>
      <c r="K54" s="696">
        <f>+landbouw!J12</f>
        <v>52.274032508410713</v>
      </c>
      <c r="L54" s="696">
        <f>+landbouw!K12</f>
        <v>0</v>
      </c>
      <c r="M54" s="696">
        <f>+landbouw!L12</f>
        <v>0</v>
      </c>
      <c r="N54" s="696">
        <f>+landbouw!M12</f>
        <v>0</v>
      </c>
      <c r="O54" s="696">
        <f>+landbouw!N12</f>
        <v>0</v>
      </c>
      <c r="P54" s="696">
        <f>+landbouw!O12</f>
        <v>0</v>
      </c>
      <c r="Q54" s="697">
        <f>+landbouw!P12</f>
        <v>0</v>
      </c>
      <c r="R54" s="724">
        <f ca="1">SUM(C54:Q54)</f>
        <v>1408.7190316204587</v>
      </c>
    </row>
    <row r="55" spans="1:18" ht="15" thickBot="1">
      <c r="A55" s="821" t="s">
        <v>872</v>
      </c>
      <c r="B55" s="831"/>
      <c r="C55" s="696">
        <f ca="1">C25*'EF ele_warmte'!B12</f>
        <v>73.324476939321173</v>
      </c>
      <c r="D55" s="696"/>
      <c r="E55" s="696">
        <f>E25*EF_CO2_aardgas</f>
        <v>8.0346259265886033</v>
      </c>
      <c r="F55" s="696"/>
      <c r="G55" s="696"/>
      <c r="H55" s="696"/>
      <c r="I55" s="696"/>
      <c r="J55" s="696"/>
      <c r="K55" s="696"/>
      <c r="L55" s="696"/>
      <c r="M55" s="696"/>
      <c r="N55" s="696"/>
      <c r="O55" s="696"/>
      <c r="P55" s="696"/>
      <c r="Q55" s="697"/>
      <c r="R55" s="724">
        <f ca="1">SUM(C55:Q55)</f>
        <v>81.359102865909776</v>
      </c>
    </row>
    <row r="56" spans="1:18" ht="15.75" thickBot="1">
      <c r="A56" s="819" t="s">
        <v>873</v>
      </c>
      <c r="B56" s="832"/>
      <c r="C56" s="725">
        <f ca="1">SUM(C54:C55)</f>
        <v>276.33176164747982</v>
      </c>
      <c r="D56" s="725">
        <f t="shared" ref="D56:Q56" ca="1" si="7">SUM(D54:D55)</f>
        <v>0</v>
      </c>
      <c r="E56" s="725">
        <f t="shared" si="7"/>
        <v>254.11977572848406</v>
      </c>
      <c r="F56" s="725">
        <f t="shared" si="7"/>
        <v>2.8087205722188808</v>
      </c>
      <c r="G56" s="725">
        <f t="shared" si="7"/>
        <v>904.54384402977507</v>
      </c>
      <c r="H56" s="725">
        <f t="shared" si="7"/>
        <v>0</v>
      </c>
      <c r="I56" s="725">
        <f t="shared" si="7"/>
        <v>0</v>
      </c>
      <c r="J56" s="725">
        <f t="shared" si="7"/>
        <v>0</v>
      </c>
      <c r="K56" s="725">
        <f t="shared" si="7"/>
        <v>52.274032508410713</v>
      </c>
      <c r="L56" s="725">
        <f t="shared" si="7"/>
        <v>0</v>
      </c>
      <c r="M56" s="725">
        <f t="shared" si="7"/>
        <v>0</v>
      </c>
      <c r="N56" s="725">
        <f t="shared" si="7"/>
        <v>0</v>
      </c>
      <c r="O56" s="725">
        <f t="shared" si="7"/>
        <v>0</v>
      </c>
      <c r="P56" s="725">
        <f t="shared" si="7"/>
        <v>0</v>
      </c>
      <c r="Q56" s="726">
        <f t="shared" si="7"/>
        <v>0</v>
      </c>
      <c r="R56" s="727">
        <f ca="1">SUM(R54:R55)</f>
        <v>1490.0781344863685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2018.0683976465632</v>
      </c>
      <c r="D61" s="733">
        <f t="shared" ref="D61:Q61" ca="1" si="8">D46+D52+D56</f>
        <v>0</v>
      </c>
      <c r="E61" s="733">
        <f t="shared" ca="1" si="8"/>
        <v>4954.9066632672875</v>
      </c>
      <c r="F61" s="733">
        <f t="shared" si="8"/>
        <v>26.704962861047878</v>
      </c>
      <c r="G61" s="733">
        <f t="shared" ca="1" si="8"/>
        <v>1094.4893341057336</v>
      </c>
      <c r="H61" s="733">
        <f t="shared" si="8"/>
        <v>1403.1739251205586</v>
      </c>
      <c r="I61" s="733">
        <f t="shared" si="8"/>
        <v>219.26525662402378</v>
      </c>
      <c r="J61" s="733">
        <f t="shared" si="8"/>
        <v>0</v>
      </c>
      <c r="K61" s="733">
        <f t="shared" si="8"/>
        <v>52.515350901659552</v>
      </c>
      <c r="L61" s="733">
        <f t="shared" si="8"/>
        <v>0</v>
      </c>
      <c r="M61" s="733">
        <f t="shared" ca="1" si="8"/>
        <v>0</v>
      </c>
      <c r="N61" s="733">
        <f t="shared" si="8"/>
        <v>0</v>
      </c>
      <c r="O61" s="733">
        <f t="shared" ca="1" si="8"/>
        <v>0</v>
      </c>
      <c r="P61" s="733">
        <f t="shared" si="8"/>
        <v>0</v>
      </c>
      <c r="Q61" s="733">
        <f t="shared" si="8"/>
        <v>0</v>
      </c>
      <c r="R61" s="733">
        <f ca="1">R46+R52+R56</f>
        <v>9769.1238905268729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0.20674922525021208</v>
      </c>
      <c r="D63" s="776">
        <f t="shared" ca="1" si="9"/>
        <v>0</v>
      </c>
      <c r="E63" s="1011">
        <f t="shared" ca="1" si="9"/>
        <v>0.20200000000000001</v>
      </c>
      <c r="F63" s="776">
        <f t="shared" si="9"/>
        <v>0.22700000000000001</v>
      </c>
      <c r="G63" s="776">
        <f t="shared" ca="1" si="9"/>
        <v>0.26700000000000002</v>
      </c>
      <c r="H63" s="776">
        <f t="shared" si="9"/>
        <v>0.26700000000000002</v>
      </c>
      <c r="I63" s="776">
        <f t="shared" si="9"/>
        <v>0.24900000000000003</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629.41660000000002</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629.41660000000002</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629.41660000000002</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629.41660000000002</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4886.4944910978402</v>
      </c>
      <c r="C4" s="462">
        <f>huishoudens!C8</f>
        <v>0</v>
      </c>
      <c r="D4" s="462">
        <f>huishoudens!D8</f>
        <v>22964.086235065821</v>
      </c>
      <c r="E4" s="462">
        <f>huishoudens!E8</f>
        <v>0</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0</v>
      </c>
      <c r="O4" s="462">
        <f>huishoudens!O8</f>
        <v>17.196666666666669</v>
      </c>
      <c r="P4" s="463">
        <f>huishoudens!P8</f>
        <v>209.73333333333335</v>
      </c>
      <c r="Q4" s="464">
        <f>SUM(B4:P4)</f>
        <v>28077.510726163662</v>
      </c>
    </row>
    <row r="5" spans="1:17">
      <c r="A5" s="461" t="s">
        <v>156</v>
      </c>
      <c r="B5" s="462">
        <f ca="1">tertiair!B16</f>
        <v>3037.3910853123161</v>
      </c>
      <c r="C5" s="462">
        <f ca="1">tertiair!C16</f>
        <v>0</v>
      </c>
      <c r="D5" s="462">
        <f ca="1">tertiair!D16</f>
        <v>306.54580578817814</v>
      </c>
      <c r="E5" s="462">
        <f>tertiair!E16</f>
        <v>56.321566271028772</v>
      </c>
      <c r="F5" s="462">
        <f ca="1">tertiair!F16</f>
        <v>609.08521726750814</v>
      </c>
      <c r="G5" s="462">
        <f>tertiair!G16</f>
        <v>0</v>
      </c>
      <c r="H5" s="462">
        <f>tertiair!H16</f>
        <v>0</v>
      </c>
      <c r="I5" s="462">
        <f>tertiair!I16</f>
        <v>0</v>
      </c>
      <c r="J5" s="462">
        <f>tertiair!J16</f>
        <v>0</v>
      </c>
      <c r="K5" s="462">
        <f>tertiair!K16</f>
        <v>0</v>
      </c>
      <c r="L5" s="462">
        <f ca="1">tertiair!L16</f>
        <v>0</v>
      </c>
      <c r="M5" s="462">
        <f>tertiair!M16</f>
        <v>0</v>
      </c>
      <c r="N5" s="462">
        <f ca="1">tertiair!N16</f>
        <v>100.72691384581833</v>
      </c>
      <c r="O5" s="462">
        <f>tertiair!O16</f>
        <v>0</v>
      </c>
      <c r="P5" s="463">
        <f>tertiair!P16</f>
        <v>0</v>
      </c>
      <c r="Q5" s="461">
        <f t="shared" ref="Q5:Q14" ca="1" si="0">SUM(B5:P5)</f>
        <v>4110.0705884848494</v>
      </c>
    </row>
    <row r="6" spans="1:17">
      <c r="A6" s="461" t="s">
        <v>194</v>
      </c>
      <c r="B6" s="462">
        <f>'openbare verlichting'!B8</f>
        <v>174.45099999999999</v>
      </c>
      <c r="C6" s="462"/>
      <c r="D6" s="462"/>
      <c r="E6" s="462"/>
      <c r="F6" s="462"/>
      <c r="G6" s="462"/>
      <c r="H6" s="462"/>
      <c r="I6" s="462"/>
      <c r="J6" s="462"/>
      <c r="K6" s="462"/>
      <c r="L6" s="462"/>
      <c r="M6" s="462"/>
      <c r="N6" s="462"/>
      <c r="O6" s="462"/>
      <c r="P6" s="463"/>
      <c r="Q6" s="461">
        <f t="shared" si="0"/>
        <v>174.45099999999999</v>
      </c>
    </row>
    <row r="7" spans="1:17">
      <c r="A7" s="461" t="s">
        <v>112</v>
      </c>
      <c r="B7" s="462">
        <f>landbouw!B8</f>
        <v>981.90106619492838</v>
      </c>
      <c r="C7" s="462">
        <f>landbouw!C8</f>
        <v>0</v>
      </c>
      <c r="D7" s="462">
        <f>landbouw!D8</f>
        <v>1218.2433158509675</v>
      </c>
      <c r="E7" s="462">
        <f>landbouw!E8</f>
        <v>12.373218379818859</v>
      </c>
      <c r="F7" s="462">
        <f>landbouw!F8</f>
        <v>3387.8046592875471</v>
      </c>
      <c r="G7" s="462">
        <f>landbouw!G8</f>
        <v>0</v>
      </c>
      <c r="H7" s="462">
        <f>landbouw!H8</f>
        <v>0</v>
      </c>
      <c r="I7" s="462">
        <f>landbouw!I8</f>
        <v>0</v>
      </c>
      <c r="J7" s="462">
        <f>landbouw!J8</f>
        <v>147.66675849833535</v>
      </c>
      <c r="K7" s="462">
        <f>landbouw!K8</f>
        <v>0</v>
      </c>
      <c r="L7" s="462">
        <f>landbouw!L8</f>
        <v>0</v>
      </c>
      <c r="M7" s="462">
        <f>landbouw!M8</f>
        <v>0</v>
      </c>
      <c r="N7" s="462">
        <f>landbouw!N8</f>
        <v>0</v>
      </c>
      <c r="O7" s="462">
        <f>landbouw!O8</f>
        <v>0</v>
      </c>
      <c r="P7" s="463">
        <f>landbouw!P8</f>
        <v>0</v>
      </c>
      <c r="Q7" s="461">
        <f t="shared" si="0"/>
        <v>5747.9890182115969</v>
      </c>
    </row>
    <row r="8" spans="1:17">
      <c r="A8" s="461" t="s">
        <v>657</v>
      </c>
      <c r="B8" s="462">
        <f>industrie!B18</f>
        <v>325.71385677526808</v>
      </c>
      <c r="C8" s="462">
        <f>industrie!C18</f>
        <v>0</v>
      </c>
      <c r="D8" s="462">
        <f>industrie!D18</f>
        <v>0</v>
      </c>
      <c r="E8" s="462">
        <f>industrie!E18</f>
        <v>31.009796774266263</v>
      </c>
      <c r="F8" s="462">
        <f>industrie!F18</f>
        <v>102.32111260499607</v>
      </c>
      <c r="G8" s="462">
        <f>industrie!G18</f>
        <v>0</v>
      </c>
      <c r="H8" s="462">
        <f>industrie!H18</f>
        <v>0</v>
      </c>
      <c r="I8" s="462">
        <f>industrie!I18</f>
        <v>0</v>
      </c>
      <c r="J8" s="462">
        <f>industrie!J18</f>
        <v>0.68169037640914221</v>
      </c>
      <c r="K8" s="462">
        <f>industrie!K18</f>
        <v>0</v>
      </c>
      <c r="L8" s="462">
        <f>industrie!L18</f>
        <v>0</v>
      </c>
      <c r="M8" s="462">
        <f>industrie!M18</f>
        <v>0</v>
      </c>
      <c r="N8" s="462">
        <f>industrie!N18</f>
        <v>71.703200054278483</v>
      </c>
      <c r="O8" s="462">
        <f>industrie!O18</f>
        <v>0</v>
      </c>
      <c r="P8" s="463">
        <f>industrie!P18</f>
        <v>0</v>
      </c>
      <c r="Q8" s="461">
        <f t="shared" si="0"/>
        <v>531.42965658521803</v>
      </c>
    </row>
    <row r="9" spans="1:17" s="467" customFormat="1">
      <c r="A9" s="465" t="s">
        <v>574</v>
      </c>
      <c r="B9" s="466">
        <f>transport!B14</f>
        <v>0.3421317259961249</v>
      </c>
      <c r="C9" s="466">
        <f>transport!C14</f>
        <v>0</v>
      </c>
      <c r="D9" s="466">
        <f>transport!D14</f>
        <v>0.59017468463024936</v>
      </c>
      <c r="E9" s="466">
        <f>transport!E14</f>
        <v>17.938426773334907</v>
      </c>
      <c r="F9" s="466">
        <f>transport!F14</f>
        <v>0</v>
      </c>
      <c r="G9" s="466">
        <f>transport!G14</f>
        <v>5164.8098208038127</v>
      </c>
      <c r="H9" s="466">
        <f>transport!H14</f>
        <v>880.58335993583842</v>
      </c>
      <c r="I9" s="466">
        <f>transport!I14</f>
        <v>0</v>
      </c>
      <c r="J9" s="466">
        <f>transport!J14</f>
        <v>0</v>
      </c>
      <c r="K9" s="466">
        <f>transport!K14</f>
        <v>0</v>
      </c>
      <c r="L9" s="466">
        <f>transport!L14</f>
        <v>0</v>
      </c>
      <c r="M9" s="466">
        <f>transport!M14</f>
        <v>273.26379084332876</v>
      </c>
      <c r="N9" s="466">
        <f>transport!N14</f>
        <v>0</v>
      </c>
      <c r="O9" s="466">
        <f>transport!O14</f>
        <v>0</v>
      </c>
      <c r="P9" s="466">
        <f>transport!P14</f>
        <v>0</v>
      </c>
      <c r="Q9" s="465">
        <f>SUM(B9:P9)</f>
        <v>6337.5277047669415</v>
      </c>
    </row>
    <row r="10" spans="1:17">
      <c r="A10" s="461" t="s">
        <v>564</v>
      </c>
      <c r="B10" s="462">
        <f>transport!B54</f>
        <v>0</v>
      </c>
      <c r="C10" s="462">
        <f>transport!C54</f>
        <v>0</v>
      </c>
      <c r="D10" s="462">
        <f>transport!D54</f>
        <v>0</v>
      </c>
      <c r="E10" s="462">
        <f>transport!E54</f>
        <v>0</v>
      </c>
      <c r="F10" s="462">
        <f>transport!F54</f>
        <v>0</v>
      </c>
      <c r="G10" s="462">
        <f>transport!G54</f>
        <v>90.523232082174587</v>
      </c>
      <c r="H10" s="462">
        <f>transport!H54</f>
        <v>0</v>
      </c>
      <c r="I10" s="462">
        <f>transport!I54</f>
        <v>0</v>
      </c>
      <c r="J10" s="462">
        <f>transport!J54</f>
        <v>0</v>
      </c>
      <c r="K10" s="462">
        <f>transport!K54</f>
        <v>0</v>
      </c>
      <c r="L10" s="462">
        <f>transport!L54</f>
        <v>0</v>
      </c>
      <c r="M10" s="462">
        <f>transport!M54</f>
        <v>4.0257895429502781</v>
      </c>
      <c r="N10" s="462">
        <f>transport!N54</f>
        <v>0</v>
      </c>
      <c r="O10" s="462">
        <f>transport!O54</f>
        <v>0</v>
      </c>
      <c r="P10" s="463">
        <f>transport!P54</f>
        <v>0</v>
      </c>
      <c r="Q10" s="461">
        <f t="shared" si="0"/>
        <v>94.549021625124865</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354.654179964072</v>
      </c>
      <c r="C14" s="469"/>
      <c r="D14" s="469">
        <f>'SEAP template'!E25</f>
        <v>39.775375874201004</v>
      </c>
      <c r="E14" s="469"/>
      <c r="F14" s="469"/>
      <c r="G14" s="469"/>
      <c r="H14" s="469"/>
      <c r="I14" s="469"/>
      <c r="J14" s="469"/>
      <c r="K14" s="469"/>
      <c r="L14" s="469"/>
      <c r="M14" s="469"/>
      <c r="N14" s="469"/>
      <c r="O14" s="469"/>
      <c r="P14" s="470"/>
      <c r="Q14" s="461">
        <f t="shared" si="0"/>
        <v>394.42955583827302</v>
      </c>
    </row>
    <row r="15" spans="1:17" s="474" customFormat="1">
      <c r="A15" s="471" t="s">
        <v>568</v>
      </c>
      <c r="B15" s="472">
        <f ca="1">SUM(B4:B14)</f>
        <v>9760.9478110704222</v>
      </c>
      <c r="C15" s="472">
        <f t="shared" ref="C15:Q15" ca="1" si="1">SUM(C4:C14)</f>
        <v>0</v>
      </c>
      <c r="D15" s="472">
        <f t="shared" ca="1" si="1"/>
        <v>24529.240907263793</v>
      </c>
      <c r="E15" s="472">
        <f t="shared" si="1"/>
        <v>117.6430081984488</v>
      </c>
      <c r="F15" s="472">
        <f t="shared" ca="1" si="1"/>
        <v>4099.2109891600512</v>
      </c>
      <c r="G15" s="472">
        <f t="shared" si="1"/>
        <v>5255.3330528859869</v>
      </c>
      <c r="H15" s="472">
        <f t="shared" si="1"/>
        <v>880.58335993583842</v>
      </c>
      <c r="I15" s="472">
        <f t="shared" si="1"/>
        <v>0</v>
      </c>
      <c r="J15" s="472">
        <f t="shared" si="1"/>
        <v>148.34844887474449</v>
      </c>
      <c r="K15" s="472">
        <f t="shared" si="1"/>
        <v>0</v>
      </c>
      <c r="L15" s="472">
        <f t="shared" ca="1" si="1"/>
        <v>0</v>
      </c>
      <c r="M15" s="472">
        <f t="shared" si="1"/>
        <v>277.28958038627906</v>
      </c>
      <c r="N15" s="472">
        <f t="shared" ca="1" si="1"/>
        <v>172.43011390009681</v>
      </c>
      <c r="O15" s="472">
        <f t="shared" si="1"/>
        <v>17.196666666666669</v>
      </c>
      <c r="P15" s="472">
        <f t="shared" si="1"/>
        <v>209.73333333333335</v>
      </c>
      <c r="Q15" s="472">
        <f t="shared" ca="1" si="1"/>
        <v>45467.957271675674</v>
      </c>
    </row>
    <row r="17" spans="1:17">
      <c r="A17" s="475" t="s">
        <v>569</v>
      </c>
      <c r="B17" s="781">
        <f ca="1">huishoudens!B10</f>
        <v>0.20674922525021208</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1010.2789502239078</v>
      </c>
      <c r="C22" s="462">
        <f t="shared" ref="C22:C32" ca="1" si="3">C4*$C$17</f>
        <v>0</v>
      </c>
      <c r="D22" s="462">
        <f t="shared" ref="D22:D32" si="4">D4*$D$17</f>
        <v>4638.7454194832962</v>
      </c>
      <c r="E22" s="462">
        <f t="shared" ref="E22:E32" si="5">E4*$E$17</f>
        <v>0</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5649.0243697072037</v>
      </c>
    </row>
    <row r="23" spans="1:17">
      <c r="A23" s="461" t="s">
        <v>156</v>
      </c>
      <c r="B23" s="462">
        <f t="shared" ca="1" si="2"/>
        <v>627.97825367022222</v>
      </c>
      <c r="C23" s="462">
        <f t="shared" ca="1" si="3"/>
        <v>0</v>
      </c>
      <c r="D23" s="462">
        <f t="shared" ca="1" si="4"/>
        <v>61.922252769211987</v>
      </c>
      <c r="E23" s="462">
        <f t="shared" si="5"/>
        <v>12.784995543523532</v>
      </c>
      <c r="F23" s="462">
        <f t="shared" ca="1" si="6"/>
        <v>162.62575301042469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865.31125499338248</v>
      </c>
    </row>
    <row r="24" spans="1:17">
      <c r="A24" s="461" t="s">
        <v>194</v>
      </c>
      <c r="B24" s="462">
        <f t="shared" ca="1" si="2"/>
        <v>36.067609094124748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36.067609094124748</v>
      </c>
    </row>
    <row r="25" spans="1:17">
      <c r="A25" s="461" t="s">
        <v>112</v>
      </c>
      <c r="B25" s="462">
        <f t="shared" ca="1" si="2"/>
        <v>203.00728470815866</v>
      </c>
      <c r="C25" s="462">
        <f t="shared" ca="1" si="3"/>
        <v>0</v>
      </c>
      <c r="D25" s="462">
        <f t="shared" si="4"/>
        <v>246.08514980189545</v>
      </c>
      <c r="E25" s="462">
        <f t="shared" si="5"/>
        <v>2.8087205722188808</v>
      </c>
      <c r="F25" s="462">
        <f t="shared" si="6"/>
        <v>904.54384402977507</v>
      </c>
      <c r="G25" s="462">
        <f t="shared" si="7"/>
        <v>0</v>
      </c>
      <c r="H25" s="462">
        <f t="shared" si="8"/>
        <v>0</v>
      </c>
      <c r="I25" s="462">
        <f t="shared" si="9"/>
        <v>0</v>
      </c>
      <c r="J25" s="462">
        <f t="shared" si="10"/>
        <v>52.274032508410713</v>
      </c>
      <c r="K25" s="462">
        <f t="shared" si="11"/>
        <v>0</v>
      </c>
      <c r="L25" s="462">
        <f t="shared" si="12"/>
        <v>0</v>
      </c>
      <c r="M25" s="462">
        <f t="shared" si="13"/>
        <v>0</v>
      </c>
      <c r="N25" s="462">
        <f t="shared" si="14"/>
        <v>0</v>
      </c>
      <c r="O25" s="462">
        <f t="shared" si="15"/>
        <v>0</v>
      </c>
      <c r="P25" s="463">
        <f t="shared" si="16"/>
        <v>0</v>
      </c>
      <c r="Q25" s="461">
        <f t="shared" ca="1" si="17"/>
        <v>1408.7190316204587</v>
      </c>
    </row>
    <row r="26" spans="1:17">
      <c r="A26" s="461" t="s">
        <v>657</v>
      </c>
      <c r="B26" s="462">
        <f t="shared" ca="1" si="2"/>
        <v>67.341087541545221</v>
      </c>
      <c r="C26" s="462">
        <f t="shared" ca="1" si="3"/>
        <v>0</v>
      </c>
      <c r="D26" s="462">
        <f t="shared" si="4"/>
        <v>0</v>
      </c>
      <c r="E26" s="462">
        <f t="shared" si="5"/>
        <v>7.0392238677584418</v>
      </c>
      <c r="F26" s="462">
        <f t="shared" si="6"/>
        <v>27.319737065533953</v>
      </c>
      <c r="G26" s="462">
        <f t="shared" si="7"/>
        <v>0</v>
      </c>
      <c r="H26" s="462">
        <f t="shared" si="8"/>
        <v>0</v>
      </c>
      <c r="I26" s="462">
        <f t="shared" si="9"/>
        <v>0</v>
      </c>
      <c r="J26" s="462">
        <f t="shared" si="10"/>
        <v>0.24131839324883633</v>
      </c>
      <c r="K26" s="462">
        <f t="shared" si="11"/>
        <v>0</v>
      </c>
      <c r="L26" s="462">
        <f t="shared" si="12"/>
        <v>0</v>
      </c>
      <c r="M26" s="462">
        <f t="shared" si="13"/>
        <v>0</v>
      </c>
      <c r="N26" s="462">
        <f t="shared" si="14"/>
        <v>0</v>
      </c>
      <c r="O26" s="462">
        <f t="shared" si="15"/>
        <v>0</v>
      </c>
      <c r="P26" s="463">
        <f t="shared" si="16"/>
        <v>0</v>
      </c>
      <c r="Q26" s="461">
        <f t="shared" ca="1" si="17"/>
        <v>101.94136686808645</v>
      </c>
    </row>
    <row r="27" spans="1:17" s="467" customFormat="1">
      <c r="A27" s="465" t="s">
        <v>574</v>
      </c>
      <c r="B27" s="775">
        <f t="shared" ca="1" si="2"/>
        <v>7.0735469283216668E-2</v>
      </c>
      <c r="C27" s="466">
        <f t="shared" ca="1" si="3"/>
        <v>0</v>
      </c>
      <c r="D27" s="466">
        <f t="shared" si="4"/>
        <v>0.11921528629531038</v>
      </c>
      <c r="E27" s="466">
        <f t="shared" si="5"/>
        <v>4.072022877547024</v>
      </c>
      <c r="F27" s="466">
        <f t="shared" si="6"/>
        <v>0</v>
      </c>
      <c r="G27" s="466">
        <f t="shared" si="7"/>
        <v>1379.004222154618</v>
      </c>
      <c r="H27" s="466">
        <f t="shared" si="8"/>
        <v>219.26525662402378</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1602.5314524117673</v>
      </c>
    </row>
    <row r="28" spans="1:17">
      <c r="A28" s="461" t="s">
        <v>564</v>
      </c>
      <c r="B28" s="462">
        <f t="shared" ca="1" si="2"/>
        <v>0</v>
      </c>
      <c r="C28" s="462">
        <f t="shared" ca="1" si="3"/>
        <v>0</v>
      </c>
      <c r="D28" s="462">
        <f t="shared" si="4"/>
        <v>0</v>
      </c>
      <c r="E28" s="462">
        <f t="shared" si="5"/>
        <v>0</v>
      </c>
      <c r="F28" s="462">
        <f t="shared" si="6"/>
        <v>0</v>
      </c>
      <c r="G28" s="462">
        <f t="shared" si="7"/>
        <v>24.169702965940616</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24.169702965940616</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73.324476939321173</v>
      </c>
      <c r="C32" s="462">
        <f t="shared" ca="1" si="3"/>
        <v>0</v>
      </c>
      <c r="D32" s="462">
        <f t="shared" si="4"/>
        <v>8.0346259265886033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81.359102865909776</v>
      </c>
    </row>
    <row r="33" spans="1:17" s="474" customFormat="1">
      <c r="A33" s="471" t="s">
        <v>568</v>
      </c>
      <c r="B33" s="472">
        <f ca="1">SUM(B22:B32)</f>
        <v>2018.068397646563</v>
      </c>
      <c r="C33" s="472">
        <f t="shared" ref="C33:Q33" ca="1" si="18">SUM(C22:C32)</f>
        <v>0</v>
      </c>
      <c r="D33" s="472">
        <f t="shared" ca="1" si="18"/>
        <v>4954.9066632672875</v>
      </c>
      <c r="E33" s="472">
        <f t="shared" si="18"/>
        <v>26.704962861047878</v>
      </c>
      <c r="F33" s="472">
        <f t="shared" ca="1" si="18"/>
        <v>1094.4893341057336</v>
      </c>
      <c r="G33" s="472">
        <f t="shared" si="18"/>
        <v>1403.1739251205586</v>
      </c>
      <c r="H33" s="472">
        <f t="shared" si="18"/>
        <v>219.26525662402378</v>
      </c>
      <c r="I33" s="472">
        <f t="shared" si="18"/>
        <v>0</v>
      </c>
      <c r="J33" s="472">
        <f t="shared" si="18"/>
        <v>52.515350901659552</v>
      </c>
      <c r="K33" s="472">
        <f t="shared" si="18"/>
        <v>0</v>
      </c>
      <c r="L33" s="472">
        <f t="shared" ca="1" si="18"/>
        <v>0</v>
      </c>
      <c r="M33" s="472">
        <f t="shared" si="18"/>
        <v>0</v>
      </c>
      <c r="N33" s="472">
        <f t="shared" ca="1" si="18"/>
        <v>0</v>
      </c>
      <c r="O33" s="472">
        <f t="shared" si="18"/>
        <v>0</v>
      </c>
      <c r="P33" s="472">
        <f t="shared" si="18"/>
        <v>0</v>
      </c>
      <c r="Q33" s="472">
        <f t="shared" ca="1" si="18"/>
        <v>9769.1238905268747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629.41660000000002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629.41660000000002</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0.20674922525021208</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0.20674922525021208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2019-08-12T08:01:07Z</dcterms:modified>
</cp:coreProperties>
</file>