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E18"/>
  <c r="D18"/>
  <c r="C18"/>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F20"/>
  <c r="D20"/>
  <c r="B17"/>
  <c r="G12"/>
  <c r="F12"/>
  <c r="E12"/>
  <c r="D12"/>
  <c r="C12"/>
  <c r="D10"/>
  <c r="B6"/>
  <c r="B5"/>
  <c r="B4"/>
  <c r="I102" l="1"/>
  <c r="H17" s="1"/>
  <c r="H20" s="1"/>
  <c r="B102"/>
  <c r="C17" s="1"/>
  <c r="C20" s="1"/>
  <c r="C102"/>
  <c r="F102"/>
  <c r="G102"/>
  <c r="O19"/>
  <c r="B8"/>
  <c r="B10" s="1"/>
  <c r="O9"/>
  <c r="C98"/>
  <c r="D102"/>
  <c r="H102"/>
  <c r="E101"/>
  <c r="E8" s="1"/>
  <c r="E10" s="1"/>
  <c r="E102"/>
  <c r="E17" s="1"/>
  <c r="E20" s="1"/>
  <c r="N6" i="17"/>
  <c r="I101" i="18" l="1"/>
  <c r="H8" s="1"/>
  <c r="H10" s="1"/>
  <c r="B101"/>
  <c r="C8" s="1"/>
  <c r="C10" s="1"/>
  <c r="C101"/>
  <c r="D101"/>
  <c r="F101"/>
  <c r="G101"/>
  <c r="I8" s="1"/>
  <c r="I10" s="1"/>
  <c r="H101"/>
  <c r="J8" s="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E9"/>
  <c r="F20" i="14"/>
  <c r="F22" s="1"/>
  <c r="P22" i="16"/>
  <c r="Q43" i="14" s="1"/>
  <c r="P8" i="48"/>
  <c r="P26" s="1"/>
  <c r="Q13" i="14"/>
  <c r="D9" i="48"/>
  <c r="D27" s="1"/>
  <c r="E20" i="14"/>
  <c r="E22" s="1"/>
  <c r="B9" i="48"/>
  <c r="C20" i="14"/>
  <c r="O5" i="48"/>
  <c r="O23" s="1"/>
  <c r="P10" i="14"/>
  <c r="G11"/>
  <c r="F4" i="48"/>
  <c r="F22" s="1"/>
  <c r="K24" i="14"/>
  <c r="K26" s="1"/>
  <c r="J7" i="48"/>
  <c r="J25" s="1"/>
  <c r="P22"/>
  <c r="J10" i="14"/>
  <c r="J16" s="1"/>
  <c r="J27" s="1"/>
  <c r="I5" i="48"/>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I23"/>
  <c r="I33" s="1"/>
  <c r="I15"/>
  <c r="J4"/>
  <c r="K11" i="14"/>
  <c r="G9" i="48"/>
  <c r="H20" i="14"/>
  <c r="P13"/>
  <c r="O8" i="48"/>
  <c r="M10"/>
  <c r="M28" s="1"/>
  <c r="N19" i="14"/>
  <c r="F24"/>
  <c r="F26" s="1"/>
  <c r="E7" i="48"/>
  <c r="E25" s="1"/>
  <c r="H19" i="14"/>
  <c r="G10" i="48"/>
  <c r="E27"/>
  <c r="G31"/>
  <c r="Q13"/>
  <c r="N52" i="14"/>
  <c r="N61" s="1"/>
  <c r="P16"/>
  <c r="P27" s="1"/>
  <c r="M14" i="22"/>
  <c r="Q63" i="14"/>
  <c r="P15" i="48"/>
  <c r="P46" i="14"/>
  <c r="P61" s="1"/>
  <c r="P63" s="1"/>
  <c r="P33"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I20" i="14"/>
  <c r="H9" i="48"/>
  <c r="G27"/>
  <c r="G15"/>
  <c r="E22"/>
  <c r="Q4"/>
  <c r="E20" i="15"/>
  <c r="F40" i="14" s="1"/>
  <c r="E5" i="48"/>
  <c r="E23" s="1"/>
  <c r="F10" i="14"/>
  <c r="M9" i="48"/>
  <c r="N20" i="14"/>
  <c r="N22" s="1"/>
  <c r="N27" s="1"/>
  <c r="N63" s="1"/>
  <c r="G28" i="48"/>
  <c r="Q10"/>
  <c r="K10" i="14"/>
  <c r="J5" i="48"/>
  <c r="J23" s="1"/>
  <c r="O26"/>
  <c r="O33" s="1"/>
  <c r="O15"/>
  <c r="E61" i="14"/>
  <c r="R11"/>
  <c r="R19"/>
  <c r="H22"/>
  <c r="H27" s="1"/>
  <c r="Q9" i="48"/>
  <c r="M61" i="14"/>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J8" i="48"/>
  <c r="R20" i="14"/>
  <c r="I22"/>
  <c r="I27" s="1"/>
  <c r="E8" i="48"/>
  <c r="F13" i="14"/>
  <c r="F16" s="1"/>
  <c r="F27" s="1"/>
  <c r="F63" s="1"/>
  <c r="H27" i="48"/>
  <c r="H33" s="1"/>
  <c r="H15"/>
  <c r="M27"/>
  <c r="M33" s="1"/>
  <c r="M15"/>
  <c r="I63" i="14"/>
  <c r="H63"/>
  <c r="K16"/>
  <c r="K27" s="1"/>
  <c r="F46"/>
  <c r="F61"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<sst xmlns="http://schemas.openxmlformats.org/spreadsheetml/2006/main" count="2450" uniqueCount="922">
  <si>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</si>
  <si>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</si>
  <si>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</si>
  <si>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</si>
  <si>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</si>
  <si>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</si>
  <si>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</si>
  <si>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</si>
  <si>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</si>
  <si>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</si>
  <si>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</si>
  <si>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</si>
  <si>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</si>
  <si>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</si>
  <si>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</si>
  <si>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</si>
  <si>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</si>
  <si>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</si>
  <si>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</si>
  <si>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</si>
  <si>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</si>
  <si>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</si>
  <si>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</si>
  <si>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</si>
  <si>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</si>
  <si>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</si>
  <si>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</si>
  <si>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</si>
  <si>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</si>
  <si>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</si>
  <si>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</si>
  <si>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</si>
  <si>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</si>
  <si>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</si>
  <si>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</si>
  <si>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</si>
  <si>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</si>
  <si>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</si>
  <si>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</si>
  <si>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</si>
  <si>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</si>
  <si>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</si>
  <si>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</si>
  <si>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</si>
  <si>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</si>
  <si>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</si>
  <si>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</si>
  <si>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</si>
  <si>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</si>
  <si>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</si>
  <si>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</si>
  <si>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</si>
  <si>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</si>
  <si>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</si>
  <si>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</si>
  <si>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</si>
  <si>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</si>
  <si>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</si>
  <si>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</si>
  <si>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</si>
  <si>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</si>
  <si>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</si>
  <si>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</si>
  <si>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</si>
  <si>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</si>
  <si>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</si>
  <si>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</si>
  <si>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</si>
  <si>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</si>
  <si>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</si>
  <si>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</si>
  <si>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</si>
  <si>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</si>
  <si>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</si>
  <si>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</si>
  <si>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</si>
  <si>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</si>
  <si>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</si>
  <si>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</si>
  <si>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</si>
  <si>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</si>
  <si>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</si>
  <si>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</si>
  <si>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</si>
  <si>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</si>
  <si>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</si>
  <si>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</si>
  <si>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</si>
  <si>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</si>
  <si>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</si>
  <si>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</si>
  <si>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</si>
  <si>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</si>
  <si>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</si>
  <si>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</si>
  <si>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</si>
  <si>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</si>
  <si>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</si>
  <si>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</si>
  <si>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</si>
  <si>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</si>
  <si>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</si>
  <si>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</si>
  <si>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</si>
  <si>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</si>
  <si>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</si>
  <si>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</si>
  <si>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</si>
  <si>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</si>
  <si>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</si>
  <si>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</si>
  <si>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</si>
  <si>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</si>
  <si>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</si>
  <si>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</si>
  <si>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</si>
  <si>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</si>
  <si>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</si>
  <si>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</si>
  <si>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</si>
  <si>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</si>
  <si>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</si>
  <si>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</si>
  <si>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</si>
  <si>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</si>
  <si>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</si>
  <si>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</si>
  <si>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</si>
  <si>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</si>
  <si>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</si>
  <si>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</si>
  <si>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</si>
  <si>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</si>
  <si>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</si>
  <si>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</si>
  <si>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</si>
  <si>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</si>
  <si>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</si>
  <si>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</si>
  <si>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</si>
  <si>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</si>
  <si>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</si>
  <si>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</si>
  <si>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</si>
  <si>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</si>
  <si>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</si>
  <si>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</si>
  <si>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</si>
  <si>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</si>
  <si>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</si>
  <si>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</si>
  <si>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</si>
  <si>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</si>
  <si>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</si>
  <si>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</si>
  <si>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</si>
  <si>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</si>
  <si>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</si>
  <si>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</si>
  <si>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</si>
  <si>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</si>
  <si>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</si>
  <si>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</si>
  <si>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</si>
  <si>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</si>
  <si>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</si>
  <si>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</si>
  <si>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</si>
  <si>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</si>
  <si>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</si>
  <si>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</si>
  <si>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</si>
  <si>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</si>
  <si>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</si>
  <si>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</si>
  <si>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</si>
  <si>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</si>
  <si>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</si>
  <si>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</si>
  <si>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</si>
  <si>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</si>
  <si>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</si>
  <si>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</si>
  <si>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</si>
  <si>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</si>
  <si>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</si>
  <si>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</si>
  <si>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</si>
  <si>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</si>
  <si>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</si>
  <si>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</si>
  <si>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</si>
  <si>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</si>
  <si>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</si>
  <si>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</si>
  <si>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</si>
  <si>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</si>
  <si>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</si>
  <si>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</si>
  <si>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</si>
  <si>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</si>
  <si>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</si>
  <si>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</si>
  <si>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</si>
  <si>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</si>
  <si>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</si>
  <si>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</si>
  <si>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</si>
  <si>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</si>
  <si>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</si>
  <si>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</si>
  <si>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</si>
  <si>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</si>
  <si>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</si>
  <si>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</si>
  <si>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</si>
  <si>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</si>
  <si>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</si>
  <si>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</si>
  <si>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</si>
  <si>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</si>
  <si>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</si>
  <si>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</si>
  <si>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</si>
  <si>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</si>
  <si>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</si>
  <si>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</si>
  <si>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</si>
  <si>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</si>
  <si>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</si>
  <si>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</si>
  <si>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</si>
  <si>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</si>
  <si>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</si>
  <si>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</si>
  <si>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</si>
  <si>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</si>
  <si>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</si>
  <si>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</si>
  <si>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</si>
  <si>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</si>
  <si>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</si>
  <si>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</si>
  <si>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</si>
  <si>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</si>
  <si>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</si>
  <si>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</si>
  <si>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</si>
  <si>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</si>
  <si>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</si>
  <si>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</si>
  <si>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</si>
  <si>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</si>
  <si>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</si>
  <si>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</si>
  <si>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</si>
  <si>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</si>
  <si>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</si>
  <si>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</si>
  <si>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</si>
  <si>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</si>
  <si>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</si>
  <si>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</si>
  <si>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</si>
  <si>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</si>
  <si>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</si>
  <si>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</si>
  <si>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</si>
  <si>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</si>
  <si>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</si>
  <si>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</si>
  <si>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</si>
  <si>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</si>
  <si>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</si>
  <si>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</si>
  <si>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</si>
  <si>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</si>
  <si>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</si>
  <si>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</si>
  <si>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</si>
  <si>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</si>
  <si>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</si>
  <si>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</si>
  <si>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</si>
  <si>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</si>
  <si>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</si>
  <si>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</si>
  <si>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</si>
  <si>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</si>
  <si>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</si>
  <si>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</si>
  <si>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</si>
  <si>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</si>
  <si>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</si>
  <si>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</si>
  <si>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</si>
  <si>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</si>
  <si>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</si>
  <si>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</si>
  <si>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</si>
  <si>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</si>
  <si>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</si>
  <si>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</si>
  <si>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</si>
  <si>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</si>
  <si>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</si>
  <si>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</si>
  <si>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</si>
  <si>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</si>
  <si>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</si>
  <si>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</si>
  <si>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</si>
  <si>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</si>
  <si>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</si>
  <si>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</si>
  <si>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</si>
  <si>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</si>
  <si>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</si>
  <si>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</si>
  <si>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</si>
  <si>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</si>
  <si>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</si>
  <si>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</si>
  <si>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</si>
  <si>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</si>
  <si>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</si>
  <si>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</si>
  <si>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</si>
  <si>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</si>
  <si>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</si>
  <si>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</si>
  <si>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</si>
  <si>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</si>
  <si>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</si>
  <si>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</si>
  <si>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</si>
  <si>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</si>
  <si>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</si>
  <si>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</si>
  <si>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</si>
  <si>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</si>
  <si>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</si>
  <si>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</si>
  <si>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</si>
  <si>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</si>
  <si>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</si>
  <si>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</si>
  <si>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</si>
  <si>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</si>
  <si>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</si>
  <si>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</si>
  <si>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</si>
  <si>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</si>
  <si>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</si>
  <si>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</si>
  <si>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</si>
  <si>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</si>
  <si>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</si>
  <si>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</si>
  <si>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</si>
  <si>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</si>
  <si>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</si>
  <si>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</si>
  <si>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</si>
  <si>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</si>
  <si>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</si>
  <si>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</si>
  <si>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</si>
  <si>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</si>
  <si>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</si>
  <si>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</si>
  <si>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</si>
  <si>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</si>
  <si>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</si>
  <si>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</si>
  <si>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</si>
  <si>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</si>
  <si>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</si>
  <si>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</si>
  <si>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</si>
  <si>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</si>
  <si>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</si>
  <si>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</si>
  <si>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</si>
  <si>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</si>
  <si>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</si>
  <si>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</si>
  <si>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</si>
  <si>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</si>
  <si>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</si>
  <si>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</si>
  <si>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</si>
  <si>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</si>
  <si>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</si>
  <si>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</si>
  <si>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</si>
  <si>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</si>
  <si>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</si>
  <si>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</si>
  <si>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</si>
  <si>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</si>
  <si>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</si>
  <si>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</si>
  <si>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</si>
  <si>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</si>
  <si>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</si>
  <si>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</si>
  <si>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</si>
  <si>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</si>
  <si>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</si>
  <si>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</si>
  <si>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</si>
  <si>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</si>
  <si>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</si>
  <si>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</si>
  <si>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</si>
  <si>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</si>
  <si>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</si>
  <si>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</si>
  <si>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</si>
  <si>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</si>
  <si>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</si>
  <si>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</si>
  <si>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</si>
  <si>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</si>
  <si>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</si>
  <si>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</si>
  <si>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</si>
  <si>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</si>
  <si>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</si>
  <si>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</si>
  <si>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</si>
  <si>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</si>
  <si>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</si>
  <si>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</si>
  <si>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</si>
  <si>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</si>
  <si>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</si>
  <si>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</si>
  <si>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</si>
  <si>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</si>
  <si>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</si>
  <si>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</si>
  <si>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</si>
  <si>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</si>
  <si>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</si>
  <si>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</si>
  <si>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</si>
  <si>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</si>
  <si>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</si>
  <si>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</si>
  <si>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</si>
  <si>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</si>
  <si>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</si>
  <si>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</si>
  <si>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</si>
  <si>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</si>
  <si>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</si>
  <si>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</si>
  <si>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</si>
  <si>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</si>
  <si>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</si>
  <si>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</si>
  <si>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</si>
  <si>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</si>
  <si>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</si>
  <si>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</si>
  <si>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</si>
  <si>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</si>
  <si>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</si>
  <si>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</si>
  <si>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</si>
  <si>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</si>
  <si>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</si>
  <si>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</si>
  <si>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</si>
  <si>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</si>
  <si>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</si>
  <si>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</si>
  <si>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</si>
  <si>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</si>
  <si>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</si>
  <si>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</si>
  <si>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</si>
  <si>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</si>
  <si>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</si>
  <si>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</si>
  <si>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</si>
  <si>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</si>
  <si>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</si>
  <si>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</si>
  <si>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</si>
  <si>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</si>
  <si>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</si>
  <si>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</si>
  <si>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</si>
  <si>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</si>
  <si>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</si>
  <si>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</si>
  <si>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</si>
  <si>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</si>
  <si>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</si>
  <si>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</si>
  <si>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</si>
  <si>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</si>
  <si>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</si>
  <si>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</si>
  <si>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</si>
  <si>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</si>
  <si>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</si>
  <si>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</si>
  <si>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</si>
  <si>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</si>
  <si>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</si>
  <si>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</si>
  <si>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</si>
  <si>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</si>
  <si>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</si>
  <si>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</si>
  <si>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</si>
  <si>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</si>
  <si>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</si>
  <si>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</si>
  <si>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</si>
  <si>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</si>
  <si>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</si>
  <si>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</si>
  <si>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</si>
  <si>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</si>
  <si>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</si>
  <si>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</si>
  <si>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</si>
  <si>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</si>
  <si>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</si>
  <si>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</si>
  <si>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</si>
  <si>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</si>
  <si>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</si>
  <si>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</si>
  <si>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</si>
  <si>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</si>
  <si>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</si>
  <si>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</si>
  <si>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</si>
  <si>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</si>
  <si>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</si>
  <si>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</si>
  <si>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</si>
  <si>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</si>
  <si>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</si>
  <si>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</si>
  <si>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</si>
  <si>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</si>
  <si>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</si>
  <si>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</si>
  <si>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</si>
  <si>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</si>
  <si>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</si>
  <si>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</si>
  <si>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</si>
  <si>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</si>
  <si>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</si>
  <si>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</si>
  <si>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</si>
  <si>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</si>
  <si>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</si>
  <si>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</si>
  <si>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</si>
  <si>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</si>
  <si>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</si>
  <si>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</si>
  <si>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</si>
  <si>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</si>
  <si>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</si>
  <si>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</si>
  <si>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</si>
  <si>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</si>
  <si>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</si>
  <si>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</si>
  <si>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</si>
  <si>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</si>
  <si>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</si>
  <si>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</si>
  <si>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</si>
  <si>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</si>
  <si>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</si>
  <si>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</si>
  <si>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</si>
  <si>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</si>
  <si>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</si>
  <si>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</si>
  <si>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</si>
  <si>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</si>
  <si>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</si>
  <si>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</si>
  <si>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</si>
  <si>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</si>
  <si>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</si>
  <si>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</si>
  <si>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</si>
  <si>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</si>
  <si>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</si>
  <si>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</si>
  <si>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</si>
  <si>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</si>
  <si>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</si>
  <si>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</si>
  <si>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</si>
  <si>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</si>
  <si>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</si>
  <si>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</si>
  <si>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</si>
  <si>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</si>
  <si>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</si>
  <si>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</si>
  <si>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</si>
  <si>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</si>
  <si>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</si>
  <si>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</si>
  <si>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</si>
  <si>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</si>
  <si>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</si>
  <si>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</si>
  <si>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</si>
  <si>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</si>
  <si>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</si>
  <si>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</si>
  <si>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</si>
  <si>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</si>
  <si>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</si>
  <si>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</si>
  <si>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</si>
  <si>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</si>
  <si>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</si>
  <si>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</si>
  <si>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</si>
  <si>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</si>
  <si>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</si>
  <si>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</si>
  <si>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</si>
  <si>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</si>
  <si>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</si>
  <si>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</si>
  <si>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</si>
  <si>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</si>
  <si>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</si>
  <si>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</si>
  <si>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</si>
  <si>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</si>
  <si>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</si>
  <si>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</si>
  <si>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</si>
  <si>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</si>
  <si>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</si>
  <si>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</si>
  <si>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</si>
  <si>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</si>
  <si>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</si>
  <si>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</si>
  <si>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</si>
  <si>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</si>
  <si>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</si>
  <si>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</si>
  <si>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</si>
  <si>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</si>
  <si>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</si>
  <si>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</si>
  <si>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</si>
  <si>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</si>
  <si>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</si>
  <si>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</si>
  <si>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</si>
  <si>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</si>
  <si>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</si>
  <si>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</si>
  <si>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</si>
  <si>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</si>
  <si>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</si>
  <si>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</si>
  <si>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</si>
  <si>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</si>
  <si>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</si>
  <si>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</si>
  <si>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</si>
  <si>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</si>
  <si>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</si>
  <si>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</si>
  <si>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</si>
  <si>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</si>
  <si>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</si>
  <si>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</si>
  <si>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</si>
  <si>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</si>
  <si>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</si>
  <si>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</si>
  <si>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</si>
  <si>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</si>
  <si>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</si>
  <si>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</si>
  <si>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</si>
  <si>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</si>
  <si>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</si>
  <si>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</si>
  <si>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</si>
  <si>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</si>
  <si>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</si>
  <si>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</si>
  <si>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</si>
  <si>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</si>
  <si>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</si>
  <si>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</si>
  <si>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</si>
  <si>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</si>
  <si>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</si>
  <si>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</si>
  <si>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</si>
  <si>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</si>
  <si>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</si>
  <si>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</si>
  <si>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</si>
  <si>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</si>
  <si>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</si>
  <si>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</si>
  <si>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</si>
  <si>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</si>
  <si>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</si>
  <si>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</si>
  <si>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</si>
  <si>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</si>
  <si>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</si>
  <si>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</si>
  <si>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</si>
  <si>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</si>
  <si>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</si>
  <si>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</si>
  <si>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</si>
  <si>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</si>
  <si>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</si>
  <si>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</si>
  <si>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</si>
  <si>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</si>
  <si>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</si>
  <si>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</si>
  <si>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</si>
  <si>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</si>
  <si>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</si>
  <si>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</si>
  <si>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</si>
  <si>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</si>
  <si>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</si>
  <si>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</si>
  <si>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</si>
  <si>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</si>
  <si>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</si>
  <si>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</si>
  <si>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</si>
  <si>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</si>
  <si>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</si>
  <si>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</si>
  <si>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</si>
  <si>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</si>
  <si>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</si>
  <si>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</si>
  <si>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</si>
  <si>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</si>
  <si>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</si>
  <si>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</si>
  <si>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</si>
  <si>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</si>
  <si>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</si>
  <si>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</si>
  <si>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</si>
  <si>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</si>
  <si>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</si>
  <si>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</si>
  <si>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</si>
  <si>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</si>
  <si>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</si>
  <si>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</si>
  <si>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</si>
  <si>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</si>
  <si>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</si>
  <si>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</si>
  <si>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</si>
  <si>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</si>
  <si>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</si>
  <si>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</si>
  <si>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</si>
  <si>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</si>
  <si>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</si>
  <si>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</si>
  <si>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</si>
  <si>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</si>
  <si>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</si>
  <si>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</si>
  <si>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</si>
  <si>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</si>
  <si>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</si>
  <si>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</si>
  <si>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</si>
  <si>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</si>
  <si>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</si>
  <si>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</si>
  <si>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</si>
  <si>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</si>
  <si>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</si>
  <si>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</si>
  <si>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</si>
  <si>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</si>
  <si>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</si>
  <si>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</si>
  <si>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</si>
  <si>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</si>
  <si>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</si>
  <si>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</si>
  <si>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</si>
  <si>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</si>
  <si>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</si>
  <si>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</si>
  <si>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</si>
  <si>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</si>
  <si>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</si>
  <si>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</si>
  <si>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</si>
  <si>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</si>
  <si>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</si>
  <si>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</si>
  <si>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</si>
  <si>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</si>
  <si>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</si>
  <si>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</si>
  <si>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</si>
  <si>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</si>
  <si>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</si>
  <si>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</si>
  <si>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</si>
  <si>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</si>
  <si>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</si>
  <si>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</si>
  <si>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</si>
  <si>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</si>
  <si>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</si>
  <si>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</si>
  <si>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</si>
  <si>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</si>
  <si>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</si>
  <si>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</si>
  <si>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</si>
  <si>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</si>
  <si>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</si>
  <si>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</si>
  <si>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</si>
  <si>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</si>
  <si>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</si>
  <si>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</si>
  <si>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</si>
  <si>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</si>
  <si>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</si>
  <si>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</si>
  <si>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</si>
  <si>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</si>
  <si>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</si>
  <si>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</si>
  <si>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</si>
  <si>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</si>
  <si>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</si>
  <si>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</si>
  <si>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</si>
  <si>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</si>
  <si>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</si>
  <si>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</si>
  <si>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</si>
  <si>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</si>
  <si>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</si>
  <si>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</si>
  <si>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</si>
  <si>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</si>
  <si>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</si>
  <si>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</si>
  <si>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</si>
  <si>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</si>
  <si>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</si>
  <si>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</si>
  <si>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</si>
  <si>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</si>
  <si>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</si>
  <si>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</si>
  <si>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</si>
  <si>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</si>
  <si>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</si>
  <si>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</si>
  <si>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</si>
  <si>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</si>
  <si>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</si>
  <si>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</si>
  <si>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</si>
  <si>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</si>
  <si>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</si>
  <si>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</si>
  <si>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</si>
  <si>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</si>
  <si>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</si>
  <si>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</si>
  <si>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</si>
  <si>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</si>
  <si>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</si>
  <si>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13001</t>
  </si>
  <si>
    <t>ARENDONK</t>
  </si>
  <si>
    <t>Cultuurgrond (ha)</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</si>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</sst>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134435.32975928677</c:v>
                </c:pt>
                <c:pt idx="1">
                  <c:v>71732.97467855367</c:v>
                </c:pt>
                <c:pt idx="2">
                  <c:v>805.79399999999998</c:v>
                </c:pt>
                <c:pt idx="3">
                  <c:v>52410.328270408732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134435.32975928677</c:v>
                </c:pt>
                <c:pt idx="1">
                  <c:v>71732.97467855367</c:v>
                </c:pt>
                <c:pt idx="2">
                  <c:v>805.79399999999998</c:v>
                </c:pt>
                <c:pt idx="3">
                  <c:v>52410.328270408732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19606.690116961527</c:v>
                </c:pt>
                <c:pt idx="2">
                  <c:v>9577.6088856509341</c:v>
                </c:pt>
                <c:pt idx="3">
                  <c:v>76.313763662224417</c:v>
                </c:pt>
                <c:pt idx="4">
                  <c:v>5848.4630134555682</c:v>
                </c:pt>
                <c:pt idx="5">
                  <c:v>6032.8798097531662</c:v>
                </c:pt>
                <c:pt idx="6">
                  <c:v>22455.564923632472</c:v>
                </c:pt>
                <c:pt idx="7">
                  <c:v>202.7391508120557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19606.690116961527</c:v>
                </c:pt>
                <c:pt idx="2">
                  <c:v>9577.6088856509341</c:v>
                </c:pt>
                <c:pt idx="3">
                  <c:v>76.313763662224417</c:v>
                </c:pt>
                <c:pt idx="4">
                  <c:v>5848.4630134555682</c:v>
                </c:pt>
                <c:pt idx="5">
                  <c:v>6032.8798097531662</c:v>
                </c:pt>
                <c:pt idx="6">
                  <c:v>22455.564923632472</c:v>
                </c:pt>
                <c:pt idx="7">
                  <c:v>202.7391508120557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13001</v>
      </c>
      <c r="B6" s="398"/>
      <c r="C6" s="399"/>
    </row>
    <row r="7" spans="1:7" s="396" customFormat="1" ht="15.75" customHeight="1">
      <c r="A7" s="400" t="str">
        <f>txtMunicipality</f>
        <v>ARENDONK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9.4706294241734768E-2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9.4706294241734768E-2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5145</v>
      </c>
      <c r="C9" s="338">
        <v>5383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2428</v>
      </c>
    </row>
    <row r="15" spans="1:6">
      <c r="A15" s="1295" t="s">
        <v>184</v>
      </c>
      <c r="B15" s="335">
        <v>4207</v>
      </c>
    </row>
    <row r="16" spans="1:6">
      <c r="A16" s="1295" t="s">
        <v>6</v>
      </c>
      <c r="B16" s="335">
        <v>1386</v>
      </c>
    </row>
    <row r="17" spans="1:6">
      <c r="A17" s="1295" t="s">
        <v>7</v>
      </c>
      <c r="B17" s="335">
        <v>122</v>
      </c>
    </row>
    <row r="18" spans="1:6">
      <c r="A18" s="1295" t="s">
        <v>8</v>
      </c>
      <c r="B18" s="335">
        <v>826</v>
      </c>
    </row>
    <row r="19" spans="1:6">
      <c r="A19" s="1295" t="s">
        <v>9</v>
      </c>
      <c r="B19" s="335">
        <v>745</v>
      </c>
    </row>
    <row r="20" spans="1:6">
      <c r="A20" s="1295" t="s">
        <v>10</v>
      </c>
      <c r="B20" s="335">
        <v>385</v>
      </c>
    </row>
    <row r="21" spans="1:6">
      <c r="A21" s="1295" t="s">
        <v>11</v>
      </c>
      <c r="B21" s="335">
        <v>17180</v>
      </c>
    </row>
    <row r="22" spans="1:6">
      <c r="A22" s="1295" t="s">
        <v>12</v>
      </c>
      <c r="B22" s="335">
        <v>18547</v>
      </c>
    </row>
    <row r="23" spans="1:6">
      <c r="A23" s="1295" t="s">
        <v>13</v>
      </c>
      <c r="B23" s="335">
        <v>961</v>
      </c>
    </row>
    <row r="24" spans="1:6">
      <c r="A24" s="1295" t="s">
        <v>14</v>
      </c>
      <c r="B24" s="335">
        <v>12</v>
      </c>
    </row>
    <row r="25" spans="1:6">
      <c r="A25" s="1295" t="s">
        <v>15</v>
      </c>
      <c r="B25" s="335">
        <v>4310</v>
      </c>
    </row>
    <row r="26" spans="1:6">
      <c r="A26" s="1295" t="s">
        <v>16</v>
      </c>
      <c r="B26" s="335">
        <v>8</v>
      </c>
    </row>
    <row r="27" spans="1:6">
      <c r="A27" s="1295" t="s">
        <v>17</v>
      </c>
      <c r="B27" s="335">
        <v>1</v>
      </c>
    </row>
    <row r="28" spans="1:6" s="341" customFormat="1">
      <c r="A28" s="1296" t="s">
        <v>18</v>
      </c>
      <c r="B28" s="1296">
        <v>384468</v>
      </c>
    </row>
    <row r="29" spans="1:6">
      <c r="A29" s="1296" t="s">
        <v>909</v>
      </c>
      <c r="B29" s="1296">
        <v>59</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195929.78705406401</v>
      </c>
      <c r="E38" s="335">
        <v>1</v>
      </c>
      <c r="F38" s="335">
        <v>65870.005915829999</v>
      </c>
    </row>
    <row r="39" spans="1:6">
      <c r="A39" s="1295" t="s">
        <v>30</v>
      </c>
      <c r="B39" s="1295" t="s">
        <v>31</v>
      </c>
      <c r="C39" s="335">
        <v>3581</v>
      </c>
      <c r="D39" s="335">
        <v>73281208.620312393</v>
      </c>
      <c r="E39" s="335">
        <v>4977</v>
      </c>
      <c r="F39" s="335">
        <v>19094395.3022485</v>
      </c>
    </row>
    <row r="40" spans="1:6">
      <c r="A40" s="1295" t="s">
        <v>30</v>
      </c>
      <c r="B40" s="1295" t="s">
        <v>29</v>
      </c>
      <c r="C40" s="335">
        <v>1</v>
      </c>
      <c r="D40" s="335">
        <v>5123.3896990992998</v>
      </c>
      <c r="E40" s="335">
        <v>1</v>
      </c>
      <c r="F40" s="335">
        <v>1355.2970832128001</v>
      </c>
    </row>
    <row r="41" spans="1:6">
      <c r="A41" s="1295" t="s">
        <v>32</v>
      </c>
      <c r="B41" s="1295" t="s">
        <v>33</v>
      </c>
      <c r="C41" s="335">
        <v>53</v>
      </c>
      <c r="D41" s="335">
        <v>1548875.9125361601</v>
      </c>
      <c r="E41" s="335">
        <v>111</v>
      </c>
      <c r="F41" s="335">
        <v>6465723.5104238298</v>
      </c>
    </row>
    <row r="42" spans="1:6">
      <c r="A42" s="1295" t="s">
        <v>32</v>
      </c>
      <c r="B42" s="1295" t="s">
        <v>34</v>
      </c>
      <c r="C42" s="335">
        <v>0</v>
      </c>
      <c r="D42" s="335">
        <v>0</v>
      </c>
      <c r="E42" s="335">
        <v>4</v>
      </c>
      <c r="F42" s="335">
        <v>191280.66583526201</v>
      </c>
    </row>
    <row r="43" spans="1:6">
      <c r="A43" s="1295" t="s">
        <v>32</v>
      </c>
      <c r="B43" s="1295" t="s">
        <v>35</v>
      </c>
      <c r="C43" s="335">
        <v>0</v>
      </c>
      <c r="D43" s="335">
        <v>0</v>
      </c>
      <c r="E43" s="335">
        <v>0</v>
      </c>
      <c r="F43" s="335">
        <v>0</v>
      </c>
    </row>
    <row r="44" spans="1:6">
      <c r="A44" s="1295" t="s">
        <v>32</v>
      </c>
      <c r="B44" s="1295" t="s">
        <v>36</v>
      </c>
      <c r="C44" s="335">
        <v>9</v>
      </c>
      <c r="D44" s="335">
        <v>4436307.07376971</v>
      </c>
      <c r="E44" s="335">
        <v>22</v>
      </c>
      <c r="F44" s="335">
        <v>5131315.0800266704</v>
      </c>
    </row>
    <row r="45" spans="1:6">
      <c r="A45" s="1295" t="s">
        <v>32</v>
      </c>
      <c r="B45" s="1295" t="s">
        <v>37</v>
      </c>
      <c r="C45" s="335">
        <v>3</v>
      </c>
      <c r="D45" s="335">
        <v>173082.69667162499</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1322907.13696696</v>
      </c>
    </row>
    <row r="48" spans="1:6">
      <c r="A48" s="1295" t="s">
        <v>32</v>
      </c>
      <c r="B48" s="1295" t="s">
        <v>29</v>
      </c>
      <c r="C48" s="335">
        <v>27</v>
      </c>
      <c r="D48" s="335">
        <v>2974502.94016182</v>
      </c>
      <c r="E48" s="335">
        <v>32</v>
      </c>
      <c r="F48" s="335">
        <v>5246254.2088293601</v>
      </c>
    </row>
    <row r="49" spans="1:6">
      <c r="A49" s="1295" t="s">
        <v>32</v>
      </c>
      <c r="B49" s="1295" t="s">
        <v>40</v>
      </c>
      <c r="C49" s="335">
        <v>0</v>
      </c>
      <c r="D49" s="335">
        <v>0</v>
      </c>
      <c r="E49" s="335">
        <v>0</v>
      </c>
      <c r="F49" s="335">
        <v>0</v>
      </c>
    </row>
    <row r="50" spans="1:6">
      <c r="A50" s="1295" t="s">
        <v>32</v>
      </c>
      <c r="B50" s="1295" t="s">
        <v>41</v>
      </c>
      <c r="C50" s="335">
        <v>6</v>
      </c>
      <c r="D50" s="335">
        <v>445251.05338833801</v>
      </c>
      <c r="E50" s="335">
        <v>10</v>
      </c>
      <c r="F50" s="335">
        <v>363627.19240007101</v>
      </c>
    </row>
    <row r="51" spans="1:6">
      <c r="A51" s="1295" t="s">
        <v>42</v>
      </c>
      <c r="B51" s="1295" t="s">
        <v>43</v>
      </c>
      <c r="C51" s="335">
        <v>0</v>
      </c>
      <c r="D51" s="335">
        <v>0</v>
      </c>
      <c r="E51" s="335">
        <v>58</v>
      </c>
      <c r="F51" s="335">
        <v>4787260.27290715</v>
      </c>
    </row>
    <row r="52" spans="1:6">
      <c r="A52" s="1295" t="s">
        <v>42</v>
      </c>
      <c r="B52" s="1295" t="s">
        <v>29</v>
      </c>
      <c r="C52" s="335">
        <v>4</v>
      </c>
      <c r="D52" s="335">
        <v>2293362.6639278</v>
      </c>
      <c r="E52" s="335">
        <v>11</v>
      </c>
      <c r="F52" s="335">
        <v>278500.46869646298</v>
      </c>
    </row>
    <row r="53" spans="1:6">
      <c r="A53" s="1295" t="s">
        <v>44</v>
      </c>
      <c r="B53" s="1295" t="s">
        <v>45</v>
      </c>
      <c r="C53" s="335">
        <v>91</v>
      </c>
      <c r="D53" s="335">
        <v>2900675.5783053301</v>
      </c>
      <c r="E53" s="335">
        <v>153</v>
      </c>
      <c r="F53" s="335">
        <v>780179.19175347197</v>
      </c>
    </row>
    <row r="54" spans="1:6">
      <c r="A54" s="1295" t="s">
        <v>46</v>
      </c>
      <c r="B54" s="1295" t="s">
        <v>47</v>
      </c>
      <c r="C54" s="335">
        <v>0</v>
      </c>
      <c r="D54" s="335">
        <v>0</v>
      </c>
      <c r="E54" s="335">
        <v>1</v>
      </c>
      <c r="F54" s="335">
        <v>805794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293210.90990371897</v>
      </c>
      <c r="E57" s="335">
        <v>81</v>
      </c>
      <c r="F57" s="335">
        <v>2048418.82905216</v>
      </c>
    </row>
    <row r="58" spans="1:6">
      <c r="A58" s="1295" t="s">
        <v>49</v>
      </c>
      <c r="B58" s="1295" t="s">
        <v>51</v>
      </c>
      <c r="C58" s="335">
        <v>24</v>
      </c>
      <c r="D58" s="335">
        <v>824188.41963530402</v>
      </c>
      <c r="E58" s="335">
        <v>24</v>
      </c>
      <c r="F58" s="335">
        <v>254689.229158403</v>
      </c>
    </row>
    <row r="59" spans="1:6">
      <c r="A59" s="1295" t="s">
        <v>49</v>
      </c>
      <c r="B59" s="1295" t="s">
        <v>52</v>
      </c>
      <c r="C59" s="335">
        <v>67</v>
      </c>
      <c r="D59" s="335">
        <v>2212901.4149544998</v>
      </c>
      <c r="E59" s="335">
        <v>126</v>
      </c>
      <c r="F59" s="335">
        <v>2979849.2941832799</v>
      </c>
    </row>
    <row r="60" spans="1:6">
      <c r="A60" s="1295" t="s">
        <v>49</v>
      </c>
      <c r="B60" s="1295" t="s">
        <v>53</v>
      </c>
      <c r="C60" s="335">
        <v>42</v>
      </c>
      <c r="D60" s="335">
        <v>1984965.8038657601</v>
      </c>
      <c r="E60" s="335">
        <v>52</v>
      </c>
      <c r="F60" s="335">
        <v>1238038.8974502201</v>
      </c>
    </row>
    <row r="61" spans="1:6">
      <c r="A61" s="1295" t="s">
        <v>49</v>
      </c>
      <c r="B61" s="1295" t="s">
        <v>54</v>
      </c>
      <c r="C61" s="335">
        <v>62</v>
      </c>
      <c r="D61" s="335">
        <v>5920608.1403054902</v>
      </c>
      <c r="E61" s="335">
        <v>135</v>
      </c>
      <c r="F61" s="335">
        <v>2493111.8972448302</v>
      </c>
    </row>
    <row r="62" spans="1:6">
      <c r="A62" s="1295" t="s">
        <v>49</v>
      </c>
      <c r="B62" s="1295" t="s">
        <v>55</v>
      </c>
      <c r="C62" s="335">
        <v>0</v>
      </c>
      <c r="D62" s="335">
        <v>0</v>
      </c>
      <c r="E62" s="335">
        <v>0</v>
      </c>
      <c r="F62" s="335">
        <v>0</v>
      </c>
    </row>
    <row r="63" spans="1:6">
      <c r="A63" s="1295" t="s">
        <v>49</v>
      </c>
      <c r="B63" s="1295" t="s">
        <v>29</v>
      </c>
      <c r="C63" s="335">
        <v>81</v>
      </c>
      <c r="D63" s="335">
        <v>5459056.6582304304</v>
      </c>
      <c r="E63" s="335">
        <v>93</v>
      </c>
      <c r="F63" s="335">
        <v>34214652.898158431</v>
      </c>
    </row>
    <row r="64" spans="1:6">
      <c r="A64" s="1295" t="s">
        <v>56</v>
      </c>
      <c r="B64" s="1295" t="s">
        <v>57</v>
      </c>
      <c r="C64" s="335">
        <v>0</v>
      </c>
      <c r="D64" s="335">
        <v>0</v>
      </c>
      <c r="E64" s="335">
        <v>0</v>
      </c>
      <c r="F64" s="335">
        <v>0</v>
      </c>
    </row>
    <row r="65" spans="1:6">
      <c r="A65" s="1295" t="s">
        <v>56</v>
      </c>
      <c r="B65" s="1295" t="s">
        <v>29</v>
      </c>
      <c r="C65" s="335">
        <v>0</v>
      </c>
      <c r="D65" s="335">
        <v>0</v>
      </c>
      <c r="E65" s="335">
        <v>1</v>
      </c>
      <c r="F65" s="335">
        <v>444.46326079720001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260599.258575471</v>
      </c>
      <c r="E68" s="335">
        <v>12</v>
      </c>
      <c r="F68" s="335">
        <v>283905.370061083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31848150</v>
      </c>
      <c r="E73" s="335">
        <v>33243924.379972544</v>
      </c>
    </row>
    <row r="74" spans="1:6">
      <c r="A74" s="1295" t="s">
        <v>64</v>
      </c>
      <c r="B74" s="1295" t="s">
        <v>727</v>
      </c>
      <c r="C74" s="1295" t="s">
        <v>728</v>
      </c>
      <c r="D74" s="335">
        <v>1656804.32863309</v>
      </c>
      <c r="E74" s="335">
        <v>1780072.2678093137</v>
      </c>
    </row>
    <row r="75" spans="1:6">
      <c r="A75" s="1295" t="s">
        <v>65</v>
      </c>
      <c r="B75" s="1295" t="s">
        <v>725</v>
      </c>
      <c r="C75" s="1295" t="s">
        <v>729</v>
      </c>
      <c r="D75" s="335">
        <v>11601205</v>
      </c>
      <c r="E75" s="335">
        <v>12109644.604267571</v>
      </c>
    </row>
    <row r="76" spans="1:6">
      <c r="A76" s="1295" t="s">
        <v>65</v>
      </c>
      <c r="B76" s="1295" t="s">
        <v>727</v>
      </c>
      <c r="C76" s="1295" t="s">
        <v>730</v>
      </c>
      <c r="D76" s="335">
        <v>474726.32863309002</v>
      </c>
      <c r="E76" s="335">
        <v>515198.96097232873</v>
      </c>
    </row>
    <row r="77" spans="1:6">
      <c r="A77" s="1295" t="s">
        <v>66</v>
      </c>
      <c r="B77" s="1295" t="s">
        <v>725</v>
      </c>
      <c r="C77" s="1295" t="s">
        <v>731</v>
      </c>
      <c r="D77" s="335">
        <v>30867139</v>
      </c>
      <c r="E77" s="335">
        <v>36696218.266886428</v>
      </c>
    </row>
    <row r="78" spans="1:6">
      <c r="A78" s="1291" t="s">
        <v>66</v>
      </c>
      <c r="B78" s="1291" t="s">
        <v>727</v>
      </c>
      <c r="C78" s="1291" t="s">
        <v>732</v>
      </c>
      <c r="D78" s="1291">
        <v>12386964</v>
      </c>
      <c r="E78" s="1291">
        <v>13994423.791228754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209525.34273381991</v>
      </c>
      <c r="C83" s="335">
        <v>206997.39786305782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25394.132829999999</v>
      </c>
    </row>
    <row r="91" spans="1:6">
      <c r="A91" s="1295" t="s">
        <v>68</v>
      </c>
      <c r="B91" s="335">
        <v>2841.0279999999998</v>
      </c>
    </row>
    <row r="92" spans="1:6">
      <c r="A92" s="1291" t="s">
        <v>69</v>
      </c>
      <c r="B92" s="338">
        <v>4626.1499999999996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2294</v>
      </c>
    </row>
    <row r="98" spans="1:6">
      <c r="A98" s="1295" t="s">
        <v>72</v>
      </c>
      <c r="B98" s="335">
        <v>6</v>
      </c>
    </row>
    <row r="99" spans="1:6">
      <c r="A99" s="1295" t="s">
        <v>73</v>
      </c>
      <c r="B99" s="335">
        <v>78</v>
      </c>
    </row>
    <row r="100" spans="1:6">
      <c r="A100" s="1295" t="s">
        <v>74</v>
      </c>
      <c r="B100" s="335">
        <v>168</v>
      </c>
    </row>
    <row r="101" spans="1:6">
      <c r="A101" s="1295" t="s">
        <v>75</v>
      </c>
      <c r="B101" s="335">
        <v>133</v>
      </c>
    </row>
    <row r="102" spans="1:6">
      <c r="A102" s="1295" t="s">
        <v>76</v>
      </c>
      <c r="B102" s="335">
        <v>48</v>
      </c>
    </row>
    <row r="103" spans="1:6">
      <c r="A103" s="1295" t="s">
        <v>77</v>
      </c>
      <c r="B103" s="335">
        <v>44</v>
      </c>
    </row>
    <row r="104" spans="1:6">
      <c r="A104" s="1295" t="s">
        <v>78</v>
      </c>
      <c r="B104" s="335">
        <v>1624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18</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132</v>
      </c>
    </row>
    <row r="130" spans="1:6">
      <c r="A130" s="1295" t="s">
        <v>295</v>
      </c>
      <c r="B130" s="335">
        <v>4</v>
      </c>
    </row>
    <row r="131" spans="1:6">
      <c r="A131" s="1295" t="s">
        <v>296</v>
      </c>
      <c r="B131" s="335">
        <v>2</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90542.439346243089</v>
      </c>
      <c r="C3" s="43" t="s">
        <v>170</v>
      </c>
      <c r="D3" s="43"/>
      <c r="E3" s="156"/>
      <c r="F3" s="43"/>
      <c r="G3" s="43"/>
      <c r="H3" s="43"/>
      <c r="I3" s="43"/>
      <c r="J3" s="43"/>
      <c r="K3" s="96"/>
    </row>
    <row r="4" spans="1:11">
      <c r="A4" s="366" t="s">
        <v>171</v>
      </c>
      <c r="B4" s="49">
        <f>IF(ISERROR('SEAP template'!B78+'SEAP template'!C78),0,'SEAP template'!B78+'SEAP template'!C78)</f>
        <v>51741.810830000002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9.4706294241734768E-2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26972.142857142855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9.4706294241734768E-2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76.313763662224417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19095.750599331714</v>
      </c>
      <c r="C5" s="17">
        <f>IF(ISERROR('Eigen informatie GS &amp; warmtenet'!B57),0,'Eigen informatie GS &amp; warmtenet'!B57)</f>
        <v>0</v>
      </c>
      <c r="D5" s="30">
        <f>(SUM(HH_hh_gas_kWh,HH_rest_gas_kWh)/1000)*0.902</f>
        <v>66104.271473030371</v>
      </c>
      <c r="E5" s="17">
        <f>B46*B57</f>
        <v>4572.39686788372</v>
      </c>
      <c r="F5" s="17">
        <f>B51*B62</f>
        <v>11753.341504328419</v>
      </c>
      <c r="G5" s="18"/>
      <c r="H5" s="17"/>
      <c r="I5" s="17"/>
      <c r="J5" s="17">
        <f>B50*B61+C50*C61</f>
        <v>0</v>
      </c>
      <c r="K5" s="17"/>
      <c r="L5" s="17"/>
      <c r="M5" s="17"/>
      <c r="N5" s="17">
        <f>B48*B59+C48*C59</f>
        <v>29228.597981379233</v>
      </c>
      <c r="O5" s="17">
        <f>B69*B70*B71</f>
        <v>229.81</v>
      </c>
      <c r="P5" s="17">
        <f>B77*B78*B79/1000-B77*B78*B79/1000/B80</f>
        <v>610.13333333333333</v>
      </c>
    </row>
    <row r="6" spans="1:16">
      <c r="A6" s="16" t="s">
        <v>634</v>
      </c>
      <c r="B6" s="783">
        <f>kWh_PV_kleiner_dan_10kW</f>
        <v>2841.0279999999998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21936.778599331712</v>
      </c>
      <c r="C8" s="21">
        <f>C5</f>
        <v>0</v>
      </c>
      <c r="D8" s="21">
        <f>D5</f>
        <v>66104.271473030371</v>
      </c>
      <c r="E8" s="21">
        <f>E5</f>
        <v>4572.39686788372</v>
      </c>
      <c r="F8" s="21">
        <f>F5</f>
        <v>11753.341504328419</v>
      </c>
      <c r="G8" s="21"/>
      <c r="H8" s="21"/>
      <c r="I8" s="21"/>
      <c r="J8" s="21">
        <f>J5</f>
        <v>0</v>
      </c>
      <c r="K8" s="21"/>
      <c r="L8" s="21">
        <f>L5</f>
        <v>0</v>
      </c>
      <c r="M8" s="21">
        <f>M5</f>
        <v>0</v>
      </c>
      <c r="N8" s="21">
        <f>N5</f>
        <v>29228.597981379233</v>
      </c>
      <c r="O8" s="21">
        <f>O5</f>
        <v>229.81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9.4706294241734768E-2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2077.5510087440994</v>
      </c>
      <c r="C12" s="23">
        <f ca="1">C10*C8</f>
        <v>0</v>
      </c>
      <c r="D12" s="23">
        <f>D8*D10</f>
        <v>13353.062837552136</v>
      </c>
      <c r="E12" s="23">
        <f>E10*E8</f>
        <v>1037.9340890096046</v>
      </c>
      <c r="F12" s="23">
        <f>F10*F8</f>
        <v>3138.1421816556881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2294</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20.580474934036939</v>
      </c>
      <c r="D20" s="231"/>
      <c r="E20" s="15"/>
    </row>
    <row r="21" spans="1:7">
      <c r="A21" s="173" t="s">
        <v>74</v>
      </c>
      <c r="B21" s="37">
        <f>aantalw2001_elektriciteit</f>
        <v>168</v>
      </c>
      <c r="C21" s="169">
        <f>IF(ISERROR(B21/SUM($B$20,$B$21,$B$22)*100),0,B21/SUM($B$20,$B$21,$B$22)*100)</f>
        <v>44.327176781002635</v>
      </c>
      <c r="D21" s="231"/>
      <c r="E21" s="15"/>
    </row>
    <row r="22" spans="1:7">
      <c r="A22" s="173" t="s">
        <v>75</v>
      </c>
      <c r="B22" s="37">
        <f>aantalw2001_hout</f>
        <v>133</v>
      </c>
      <c r="C22" s="169">
        <f>IF(ISERROR(B22/SUM($B$20,$B$21,$B$22)*100),0,B22/SUM($B$20,$B$21,$B$22)*100)</f>
        <v>35.092348284960423</v>
      </c>
      <c r="D22" s="231"/>
      <c r="E22" s="15"/>
    </row>
    <row r="23" spans="1:7">
      <c r="A23" s="173" t="s">
        <v>76</v>
      </c>
      <c r="B23" s="37">
        <f>aantalw2001_niet_gespec</f>
        <v>48</v>
      </c>
      <c r="C23" s="168" t="s">
        <v>111</v>
      </c>
      <c r="D23" s="230"/>
      <c r="E23" s="15"/>
    </row>
    <row r="24" spans="1:7">
      <c r="A24" s="173" t="s">
        <v>77</v>
      </c>
      <c r="B24" s="37">
        <f>aantalw2001_steenkool</f>
        <v>44</v>
      </c>
      <c r="C24" s="168" t="s">
        <v>111</v>
      </c>
      <c r="D24" s="231"/>
      <c r="E24" s="15"/>
    </row>
    <row r="25" spans="1:7">
      <c r="A25" s="173" t="s">
        <v>78</v>
      </c>
      <c r="B25" s="37">
        <f>aantalw2001_stookolie</f>
        <v>1624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5145</v>
      </c>
      <c r="C28" s="36"/>
      <c r="D28" s="230"/>
    </row>
    <row r="29" spans="1:7" s="15" customFormat="1">
      <c r="A29" s="232" t="s">
        <v>746</v>
      </c>
      <c r="B29" s="37">
        <f>SUM(HH_hh_gas_aantal,HH_rest_gas_aantal)</f>
        <v>3582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3582</v>
      </c>
      <c r="C32" s="169">
        <f>IF(ISERROR(B32/SUM($B$32,$B$34,$B$35,$B$36,$B$38,$B$39)*100),0,B32/SUM($B$32,$B$34,$B$35,$B$36,$B$38,$B$39)*100)</f>
        <v>70.056718169372189</v>
      </c>
      <c r="D32" s="235"/>
      <c r="G32" s="15"/>
    </row>
    <row r="33" spans="1:7">
      <c r="A33" s="173" t="s">
        <v>72</v>
      </c>
      <c r="B33" s="34" t="s">
        <v>111</v>
      </c>
      <c r="C33" s="169"/>
      <c r="D33" s="235"/>
      <c r="G33" s="15"/>
    </row>
    <row r="34" spans="1:7">
      <c r="A34" s="173" t="s">
        <v>73</v>
      </c>
      <c r="B34" s="33">
        <f>IF((($B$28-$B$32-$B$39-$B$77-$B$38)*C20/100)&lt;0,0,($B$28-$B$32-$B$39-$B$77-$B$38)*C20/100)</f>
        <v>219.42902374670186</v>
      </c>
      <c r="C34" s="169">
        <f>IF(ISERROR(B34/SUM($B$32,$B$34,$B$35,$B$36,$B$38,$B$39)*100),0,B34/SUM($B$32,$B$34,$B$35,$B$36,$B$38,$B$39)*100)</f>
        <v>4.2915905289791088</v>
      </c>
      <c r="D34" s="235"/>
      <c r="G34" s="15"/>
    </row>
    <row r="35" spans="1:7">
      <c r="A35" s="173" t="s">
        <v>74</v>
      </c>
      <c r="B35" s="33">
        <f>IF((($B$28-$B$32-$B$39-$B$77-$B$38)*C21/100)&lt;0,0,($B$28-$B$32-$B$39-$B$77-$B$38)*C21/100)</f>
        <v>472.61635883905006</v>
      </c>
      <c r="C35" s="169">
        <f>IF(ISERROR(B35/SUM($B$32,$B$34,$B$35,$B$36,$B$38,$B$39)*100),0,B35/SUM($B$32,$B$34,$B$35,$B$36,$B$38,$B$39)*100)</f>
        <v>9.2434257547242336</v>
      </c>
      <c r="D35" s="235"/>
      <c r="G35" s="15"/>
    </row>
    <row r="36" spans="1:7">
      <c r="A36" s="173" t="s">
        <v>75</v>
      </c>
      <c r="B36" s="33">
        <f>IF((($B$28-$B$32-$B$39-$B$77-$B$38)*C22/100)&lt;0,0,($B$28-$B$32-$B$39-$B$77-$B$38)*C22/100)</f>
        <v>374.15461741424804</v>
      </c>
      <c r="C36" s="169">
        <f>IF(ISERROR(B36/SUM($B$32,$B$34,$B$35,$B$36,$B$38,$B$39)*100),0,B36/SUM($B$32,$B$34,$B$35,$B$36,$B$38,$B$39)*100)</f>
        <v>7.3177120558233524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464.79999999999995</v>
      </c>
      <c r="C39" s="169">
        <f>IF(ISERROR(B39/SUM($B$32,$B$34,$B$35,$B$36,$B$38,$B$39)*100),0,B39/SUM($B$32,$B$34,$B$35,$B$36,$B$38,$B$39)*100)</f>
        <v>9.0905534911011134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3582</v>
      </c>
      <c r="C44" s="34" t="s">
        <v>111</v>
      </c>
      <c r="D44" s="176"/>
    </row>
    <row r="45" spans="1:7">
      <c r="A45" s="173" t="s">
        <v>72</v>
      </c>
      <c r="B45" s="33" t="str">
        <f t="shared" si="0"/>
        <v>-</v>
      </c>
      <c r="C45" s="34" t="s">
        <v>111</v>
      </c>
      <c r="D45" s="176"/>
    </row>
    <row r="46" spans="1:7">
      <c r="A46" s="173" t="s">
        <v>73</v>
      </c>
      <c r="B46" s="33">
        <f t="shared" si="0"/>
        <v>219.42902374670186</v>
      </c>
      <c r="C46" s="34" t="s">
        <v>111</v>
      </c>
      <c r="D46" s="176"/>
    </row>
    <row r="47" spans="1:7">
      <c r="A47" s="173" t="s">
        <v>74</v>
      </c>
      <c r="B47" s="33">
        <f t="shared" si="0"/>
        <v>472.61635883905006</v>
      </c>
      <c r="C47" s="34" t="s">
        <v>111</v>
      </c>
      <c r="D47" s="176"/>
    </row>
    <row r="48" spans="1:7">
      <c r="A48" s="173" t="s">
        <v>75</v>
      </c>
      <c r="B48" s="33">
        <f t="shared" si="0"/>
        <v>374.15461741424804</v>
      </c>
      <c r="C48" s="33">
        <f>B48*10</f>
        <v>3741.5461741424806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43228.761045247331</v>
      </c>
      <c r="C5" s="17">
        <f>IF(ISERROR('Eigen informatie GS &amp; warmtenet'!B58),0,'Eigen informatie GS &amp; warmtenet'!B58)</f>
        <v>0</v>
      </c>
      <c r="D5" s="30">
        <f>SUM(D6:D12)</f>
        <v>15058.828074899473</v>
      </c>
      <c r="E5" s="17">
        <f>SUM(E6:E12)</f>
        <v>547.07423830713583</v>
      </c>
      <c r="F5" s="17">
        <f>SUM(F6:F12)</f>
        <v>8679.7902590587437</v>
      </c>
      <c r="G5" s="18"/>
      <c r="H5" s="17"/>
      <c r="I5" s="17"/>
      <c r="J5" s="17">
        <f>SUM(J6:J12)</f>
        <v>0</v>
      </c>
      <c r="K5" s="17"/>
      <c r="L5" s="17"/>
      <c r="M5" s="17"/>
      <c r="N5" s="17">
        <f>SUM(N6:N12)</f>
        <v>4155.0677277076666</v>
      </c>
      <c r="O5" s="17">
        <f>B38*B39*B40</f>
        <v>6.2533333333333339</v>
      </c>
      <c r="P5" s="17">
        <f>B46*B47*B48/1000-B46*B47*B48/1000/B49</f>
        <v>57.2</v>
      </c>
      <c r="R5" s="32"/>
    </row>
    <row r="6" spans="1:18">
      <c r="A6" s="32" t="s">
        <v>54</v>
      </c>
      <c r="B6" s="37">
        <f>B26</f>
        <v>2493.1118972448303</v>
      </c>
      <c r="C6" s="33"/>
      <c r="D6" s="37">
        <f>IF(ISERROR(TER_kantoor_gas_kWh/1000),0,TER_kantoor_gas_kWh/1000)*0.902</f>
        <v>5340.3885425555527</v>
      </c>
      <c r="E6" s="33">
        <f>$C$26*'E Balans VL '!I12/100/3.6*1000000</f>
        <v>9.6862675433383103</v>
      </c>
      <c r="F6" s="33">
        <f>$C$26*('E Balans VL '!L12+'E Balans VL '!N12)/100/3.6*1000000</f>
        <v>379.17963406131952</v>
      </c>
      <c r="G6" s="34"/>
      <c r="H6" s="33"/>
      <c r="I6" s="33"/>
      <c r="J6" s="33">
        <f>$C$26*('E Balans VL '!D12+'E Balans VL '!E12)/100/3.6*1000000</f>
        <v>0</v>
      </c>
      <c r="K6" s="33"/>
      <c r="L6" s="33"/>
      <c r="M6" s="33"/>
      <c r="N6" s="33">
        <f>$C$26*'E Balans VL '!Y12/100/3.6*1000000</f>
        <v>1.3740033228319248</v>
      </c>
      <c r="O6" s="33"/>
      <c r="P6" s="33"/>
      <c r="R6" s="32"/>
    </row>
    <row r="7" spans="1:18">
      <c r="A7" s="32" t="s">
        <v>53</v>
      </c>
      <c r="B7" s="37">
        <f t="shared" ref="B7:B12" si="0">B27</f>
        <v>1238.03889745022</v>
      </c>
      <c r="C7" s="33"/>
      <c r="D7" s="37">
        <f>IF(ISERROR(TER_horeca_gas_kWh/1000),0,TER_horeca_gas_kWh/1000)*0.902</f>
        <v>1790.4391550869157</v>
      </c>
      <c r="E7" s="33">
        <f>$C$27*'E Balans VL '!I9/100/3.6*1000000</f>
        <v>69.739062090131725</v>
      </c>
      <c r="F7" s="33">
        <f>$C$27*('E Balans VL '!L9+'E Balans VL '!N9)/100/3.6*1000000</f>
        <v>356.97629814893605</v>
      </c>
      <c r="G7" s="34"/>
      <c r="H7" s="33"/>
      <c r="I7" s="33"/>
      <c r="J7" s="33">
        <f>$C$27*('E Balans VL '!D9+'E Balans VL '!E9)/100/3.6*1000000</f>
        <v>0</v>
      </c>
      <c r="K7" s="33"/>
      <c r="L7" s="33"/>
      <c r="M7" s="33"/>
      <c r="N7" s="33">
        <f>$C$27*'E Balans VL '!Y9/100/3.6*1000000</f>
        <v>0.3418161061305906</v>
      </c>
      <c r="O7" s="33"/>
      <c r="P7" s="33"/>
      <c r="R7" s="32"/>
    </row>
    <row r="8" spans="1:18">
      <c r="A8" s="6" t="s">
        <v>52</v>
      </c>
      <c r="B8" s="37">
        <f t="shared" si="0"/>
        <v>2979.8492941832797</v>
      </c>
      <c r="C8" s="33"/>
      <c r="D8" s="37">
        <f>IF(ISERROR(TER_handel_gas_kWh/1000),0,TER_handel_gas_kWh/1000)*0.902</f>
        <v>1996.0370762889588</v>
      </c>
      <c r="E8" s="33">
        <f>$C$28*'E Balans VL '!I13/100/3.6*1000000</f>
        <v>42.949737952174651</v>
      </c>
      <c r="F8" s="33">
        <f>$C$28*('E Balans VL '!L13+'E Balans VL '!N13)/100/3.6*1000000</f>
        <v>517.66921840693431</v>
      </c>
      <c r="G8" s="34"/>
      <c r="H8" s="33"/>
      <c r="I8" s="33"/>
      <c r="J8" s="33">
        <f>$C$28*('E Balans VL '!D13+'E Balans VL '!E13)/100/3.6*1000000</f>
        <v>0</v>
      </c>
      <c r="K8" s="33"/>
      <c r="L8" s="33"/>
      <c r="M8" s="33"/>
      <c r="N8" s="33">
        <f>$C$28*'E Balans VL '!Y13/100/3.6*1000000</f>
        <v>8.9279602090300934</v>
      </c>
      <c r="O8" s="33"/>
      <c r="P8" s="33"/>
      <c r="R8" s="32"/>
    </row>
    <row r="9" spans="1:18">
      <c r="A9" s="32" t="s">
        <v>51</v>
      </c>
      <c r="B9" s="37">
        <f t="shared" si="0"/>
        <v>254.68922915840301</v>
      </c>
      <c r="C9" s="33"/>
      <c r="D9" s="37">
        <f>IF(ISERROR(TER_gezond_gas_kWh/1000),0,TER_gezond_gas_kWh/1000)*0.902</f>
        <v>743.41795451104429</v>
      </c>
      <c r="E9" s="33">
        <f>$C$29*'E Balans VL '!I10/100/3.6*1000000</f>
        <v>0.27207410976512081</v>
      </c>
      <c r="F9" s="33">
        <f>$C$29*('E Balans VL '!L10+'E Balans VL '!N10)/100/3.6*1000000</f>
        <v>41.547553571866125</v>
      </c>
      <c r="G9" s="34"/>
      <c r="H9" s="33"/>
      <c r="I9" s="33"/>
      <c r="J9" s="33">
        <f>$C$29*('E Balans VL '!D10+'E Balans VL '!E10)/100/3.6*1000000</f>
        <v>0</v>
      </c>
      <c r="K9" s="33"/>
      <c r="L9" s="33"/>
      <c r="M9" s="33"/>
      <c r="N9" s="33">
        <f>$C$29*'E Balans VL '!Y10/100/3.6*1000000</f>
        <v>2.621880291410835</v>
      </c>
      <c r="O9" s="33"/>
      <c r="P9" s="33"/>
      <c r="R9" s="32"/>
    </row>
    <row r="10" spans="1:18">
      <c r="A10" s="32" t="s">
        <v>50</v>
      </c>
      <c r="B10" s="37">
        <f t="shared" si="0"/>
        <v>2048.4188290521602</v>
      </c>
      <c r="C10" s="33"/>
      <c r="D10" s="37">
        <f>IF(ISERROR(TER_ander_gas_kWh/1000),0,TER_ander_gas_kWh/1000)*0.902</f>
        <v>264.4762407331545</v>
      </c>
      <c r="E10" s="33">
        <f>$C$30*'E Balans VL '!I14/100/3.6*1000000</f>
        <v>9.4203666071767014</v>
      </c>
      <c r="F10" s="33">
        <f>$C$30*('E Balans VL '!L14+'E Balans VL '!N14)/100/3.6*1000000</f>
        <v>613.97573600410146</v>
      </c>
      <c r="G10" s="34"/>
      <c r="H10" s="33"/>
      <c r="I10" s="33"/>
      <c r="J10" s="33">
        <f>$C$30*('E Balans VL '!D14+'E Balans VL '!E14)/100/3.6*1000000</f>
        <v>0</v>
      </c>
      <c r="K10" s="33"/>
      <c r="L10" s="33"/>
      <c r="M10" s="33"/>
      <c r="N10" s="33">
        <f>$C$30*'E Balans VL '!Y14/100/3.6*1000000</f>
        <v>1425.8347227217989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34214.652898158434</v>
      </c>
      <c r="C12" s="33"/>
      <c r="D12" s="37">
        <f>IF(ISERROR(TER_rest_gas_kWh/1000),0,TER_rest_gas_kWh/1000)*0.902</f>
        <v>4924.0691057238482</v>
      </c>
      <c r="E12" s="33">
        <f>$C$32*'E Balans VL '!I8/100/3.6*1000000</f>
        <v>415.0067300045493</v>
      </c>
      <c r="F12" s="33">
        <f>$C$32*('E Balans VL '!L8+'E Balans VL '!N8)/100/3.6*1000000</f>
        <v>6770.4418188655873</v>
      </c>
      <c r="G12" s="34"/>
      <c r="H12" s="33"/>
      <c r="I12" s="33"/>
      <c r="J12" s="33">
        <f>$C$32*('E Balans VL '!D8+'E Balans VL '!E8)/100/3.6*1000000</f>
        <v>0</v>
      </c>
      <c r="K12" s="33"/>
      <c r="L12" s="33"/>
      <c r="M12" s="33"/>
      <c r="N12" s="33">
        <f>$C$32*'E Balans VL '!Y8/100/3.6*1000000</f>
        <v>2715.9673450564646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43228.761045247331</v>
      </c>
      <c r="C16" s="21">
        <f t="shared" ca="1" si="1"/>
        <v>0</v>
      </c>
      <c r="D16" s="21">
        <f t="shared" ca="1" si="1"/>
        <v>15058.828074899473</v>
      </c>
      <c r="E16" s="21">
        <f t="shared" si="1"/>
        <v>547.07423830713583</v>
      </c>
      <c r="F16" s="21">
        <f t="shared" ca="1" si="1"/>
        <v>8679.7902590587437</v>
      </c>
      <c r="G16" s="21">
        <f t="shared" si="1"/>
        <v>0</v>
      </c>
      <c r="H16" s="21">
        <f t="shared" si="1"/>
        <v>0</v>
      </c>
      <c r="I16" s="21">
        <f t="shared" si="1"/>
        <v>0</v>
      </c>
      <c r="J16" s="21">
        <f t="shared" si="1"/>
        <v>0</v>
      </c>
      <c r="K16" s="21">
        <f t="shared" si="1"/>
        <v>0</v>
      </c>
      <c r="L16" s="21">
        <f t="shared" ca="1" si="1"/>
        <v>0</v>
      </c>
      <c r="M16" s="21">
        <f t="shared" si="1"/>
        <v>0</v>
      </c>
      <c r="N16" s="21">
        <f t="shared" ca="1" si="1"/>
        <v>4155.0677277076666</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9.4706294241734768E-2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4094.0357632568357</v>
      </c>
      <c r="C20" s="23">
        <f t="shared" ref="C20:P20" ca="1" si="2">C16*C18</f>
        <v>0</v>
      </c>
      <c r="D20" s="23">
        <f t="shared" ca="1" si="2"/>
        <v>3041.8832711296936</v>
      </c>
      <c r="E20" s="23">
        <f t="shared" si="2"/>
        <v>124.18585209571984</v>
      </c>
      <c r="F20" s="23">
        <f t="shared" ca="1" si="2"/>
        <v>2317.5039991686849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2493.1118972448303</v>
      </c>
      <c r="C26" s="39">
        <f>IF(ISERROR(B26*3.6/1000000/'E Balans VL '!Z12*100),0,B26*3.6/1000000/'E Balans VL '!Z12*100)</f>
        <v>5.2954931624575756E-2</v>
      </c>
      <c r="D26" s="239" t="s">
        <v>692</v>
      </c>
      <c r="F26" s="6"/>
    </row>
    <row r="27" spans="1:18">
      <c r="A27" s="233" t="s">
        <v>53</v>
      </c>
      <c r="B27" s="33">
        <f>IF(ISERROR(TER_horeca_ele_kWh/1000),0,TER_horeca_ele_kWh/1000)</f>
        <v>1238.03889745022</v>
      </c>
      <c r="C27" s="39">
        <f>IF(ISERROR(B27*3.6/1000000/'E Balans VL '!Z9*100),0,B27*3.6/1000000/'E Balans VL '!Z9*100)</f>
        <v>9.6265064030573319E-2</v>
      </c>
      <c r="D27" s="239" t="s">
        <v>692</v>
      </c>
      <c r="F27" s="6"/>
    </row>
    <row r="28" spans="1:18">
      <c r="A28" s="173" t="s">
        <v>52</v>
      </c>
      <c r="B28" s="33">
        <f>IF(ISERROR(TER_handel_ele_kWh/1000),0,TER_handel_ele_kWh/1000)</f>
        <v>2979.8492941832797</v>
      </c>
      <c r="C28" s="39">
        <f>IF(ISERROR(B28*3.6/1000000/'E Balans VL '!Z13*100),0,B28*3.6/1000000/'E Balans VL '!Z13*100)</f>
        <v>8.5256995238386687E-2</v>
      </c>
      <c r="D28" s="239" t="s">
        <v>692</v>
      </c>
      <c r="F28" s="6"/>
    </row>
    <row r="29" spans="1:18">
      <c r="A29" s="233" t="s">
        <v>51</v>
      </c>
      <c r="B29" s="33">
        <f>IF(ISERROR(TER_gezond_ele_kWh/1000),0,TER_gezond_ele_kWh/1000)</f>
        <v>254.68922915840301</v>
      </c>
      <c r="C29" s="39">
        <f>IF(ISERROR(B29*3.6/1000000/'E Balans VL '!Z10*100),0,B29*3.6/1000000/'E Balans VL '!Z10*100)</f>
        <v>2.7767044246162897E-2</v>
      </c>
      <c r="D29" s="239" t="s">
        <v>692</v>
      </c>
      <c r="F29" s="6"/>
    </row>
    <row r="30" spans="1:18">
      <c r="A30" s="233" t="s">
        <v>50</v>
      </c>
      <c r="B30" s="33">
        <f>IF(ISERROR(TER_ander_ele_kWh/1000),0,TER_ander_ele_kWh/1000)</f>
        <v>2048.4188290521602</v>
      </c>
      <c r="C30" s="39">
        <f>IF(ISERROR(B30*3.6/1000000/'E Balans VL '!Z14*100),0,B30*3.6/1000000/'E Balans VL '!Z14*100)</f>
        <v>0.14989864318207613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34214.652898158434</v>
      </c>
      <c r="C32" s="39">
        <f>IF(ISERROR(B32*3.6/1000000/'E Balans VL '!Z8*100),0,B32*3.6/1000000/'E Balans VL '!Z8*100)</f>
        <v>0.27882865730214018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18721.107794482152</v>
      </c>
      <c r="C5" s="17">
        <f>IF(ISERROR('Eigen informatie GS &amp; warmtenet'!B59),0,'Eigen informatie GS &amp; warmtenet'!B59)</f>
        <v>0</v>
      </c>
      <c r="D5" s="30">
        <f>SUM(D6:D15)</f>
        <v>8639.373748227943</v>
      </c>
      <c r="E5" s="17">
        <f>SUM(E6:E15)</f>
        <v>2234.6042670395095</v>
      </c>
      <c r="F5" s="17">
        <f>SUM(F6:F15)</f>
        <v>7500.7589666225822</v>
      </c>
      <c r="G5" s="18"/>
      <c r="H5" s="17"/>
      <c r="I5" s="17"/>
      <c r="J5" s="17">
        <f>SUM(J6:J15)</f>
        <v>13.45128980074152</v>
      </c>
      <c r="K5" s="17"/>
      <c r="L5" s="17"/>
      <c r="M5" s="17"/>
      <c r="N5" s="17">
        <f>SUM(N6:N15)</f>
        <v>6218.9112045436223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5131.3150800266703</v>
      </c>
      <c r="C8" s="33"/>
      <c r="D8" s="37">
        <f>IF( ISERROR(IND_metaal_Gas_kWH/1000),0,IND_metaal_Gas_kWH/1000)*0.902</f>
        <v>4001.5489805402785</v>
      </c>
      <c r="E8" s="33">
        <f>C30*'E Balans VL '!I18/100/3.6*1000000</f>
        <v>147.39062969231449</v>
      </c>
      <c r="F8" s="33">
        <f>C30*'E Balans VL '!L18/100/3.6*1000000+C30*'E Balans VL '!N18/100/3.6*1000000</f>
        <v>1316.0836286550757</v>
      </c>
      <c r="G8" s="34"/>
      <c r="H8" s="33"/>
      <c r="I8" s="33"/>
      <c r="J8" s="40">
        <f>C30*'E Balans VL '!D18/100/3.6*1000000+C30*'E Balans VL '!E18/100/3.6*1000000</f>
        <v>0</v>
      </c>
      <c r="K8" s="33"/>
      <c r="L8" s="33"/>
      <c r="M8" s="33"/>
      <c r="N8" s="33">
        <f>C30*'E Balans VL '!Y18/100/3.6*1000000</f>
        <v>139.32567892080544</v>
      </c>
      <c r="O8" s="33"/>
      <c r="P8" s="33"/>
      <c r="R8" s="32"/>
    </row>
    <row r="9" spans="1:18">
      <c r="A9" s="6" t="s">
        <v>33</v>
      </c>
      <c r="B9" s="37">
        <f t="shared" si="0"/>
        <v>6465.7235104238298</v>
      </c>
      <c r="C9" s="33"/>
      <c r="D9" s="37">
        <f>IF( ISERROR(IND_andere_gas_kWh/1000),0,IND_andere_gas_kWh/1000)*0.902</f>
        <v>1397.0860731076164</v>
      </c>
      <c r="E9" s="33">
        <f>C31*'E Balans VL '!I19/100/3.6*1000000</f>
        <v>1750.1123812662684</v>
      </c>
      <c r="F9" s="33">
        <f>C31*'E Balans VL '!L19/100/3.6*1000000+C31*'E Balans VL '!N19/100/3.6*1000000</f>
        <v>4306.8560744158231</v>
      </c>
      <c r="G9" s="34"/>
      <c r="H9" s="33"/>
      <c r="I9" s="33"/>
      <c r="J9" s="40">
        <f>C31*'E Balans VL '!D19/100/3.6*1000000+C31*'E Balans VL '!E19/100/3.6*1000000</f>
        <v>0</v>
      </c>
      <c r="K9" s="33"/>
      <c r="L9" s="33"/>
      <c r="M9" s="33"/>
      <c r="N9" s="33">
        <f>C31*'E Balans VL '!Y19/100/3.6*1000000</f>
        <v>2110.9513212908337</v>
      </c>
      <c r="O9" s="33"/>
      <c r="P9" s="33"/>
      <c r="R9" s="32"/>
    </row>
    <row r="10" spans="1:18">
      <c r="A10" s="6" t="s">
        <v>41</v>
      </c>
      <c r="B10" s="37">
        <f t="shared" si="0"/>
        <v>363.62719240007101</v>
      </c>
      <c r="C10" s="33"/>
      <c r="D10" s="37">
        <f>IF( ISERROR(IND_voed_gas_kWh/1000),0,IND_voed_gas_kWh/1000)*0.902</f>
        <v>401.61645015628091</v>
      </c>
      <c r="E10" s="33">
        <f>C32*'E Balans VL '!I20/100/3.6*1000000</f>
        <v>29.658269223885789</v>
      </c>
      <c r="F10" s="33">
        <f>C32*'E Balans VL '!L20/100/3.6*1000000+C32*'E Balans VL '!N20/100/3.6*1000000</f>
        <v>542.20113501812762</v>
      </c>
      <c r="G10" s="34"/>
      <c r="H10" s="33"/>
      <c r="I10" s="33"/>
      <c r="J10" s="40">
        <f>C32*'E Balans VL '!D20/100/3.6*1000000+C32*'E Balans VL '!E20/100/3.6*1000000</f>
        <v>4.8103463712533268E-3</v>
      </c>
      <c r="K10" s="33"/>
      <c r="L10" s="33"/>
      <c r="M10" s="33"/>
      <c r="N10" s="33">
        <f>C32*'E Balans VL '!Y20/100/3.6*1000000</f>
        <v>106.82083810706253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156.12059239780575</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1322.90713696696</v>
      </c>
      <c r="C13" s="33"/>
      <c r="D13" s="37">
        <f>IF( ISERROR(IND_papier_gas_kWh/1000),0,IND_papier_gas_kWh/1000)*0.902</f>
        <v>0</v>
      </c>
      <c r="E13" s="33">
        <f>C35*'E Balans VL '!I23/100/3.6*1000000</f>
        <v>13.859862302410239</v>
      </c>
      <c r="F13" s="33">
        <f>C35*'E Balans VL '!L23/100/3.6*1000000+C35*'E Balans VL '!N23/100/3.6*1000000</f>
        <v>98.715565040516609</v>
      </c>
      <c r="G13" s="34"/>
      <c r="H13" s="33"/>
      <c r="I13" s="33"/>
      <c r="J13" s="40">
        <f>C35*'E Balans VL '!D23/100/3.6*1000000+C35*'E Balans VL '!E23/100/3.6*1000000</f>
        <v>0</v>
      </c>
      <c r="K13" s="33"/>
      <c r="L13" s="33"/>
      <c r="M13" s="33"/>
      <c r="N13" s="33">
        <f>C35*'E Balans VL '!Y23/100/3.6*1000000</f>
        <v>2827.5759244153619</v>
      </c>
      <c r="O13" s="33"/>
      <c r="P13" s="33"/>
      <c r="R13" s="32"/>
    </row>
    <row r="14" spans="1:18">
      <c r="A14" s="6" t="s">
        <v>34</v>
      </c>
      <c r="B14" s="37">
        <f t="shared" si="0"/>
        <v>191.28066583526203</v>
      </c>
      <c r="C14" s="33"/>
      <c r="D14" s="37">
        <f>IF( ISERROR(IND_chemie_gas_kWh/1000),0,IND_chemie_gas_kWh/1000)*0.902</f>
        <v>0</v>
      </c>
      <c r="E14" s="33">
        <f>C36*'E Balans VL '!I24/100/3.6*1000000</f>
        <v>0.90422862588574082</v>
      </c>
      <c r="F14" s="33">
        <f>C36*'E Balans VL '!L24/100/3.6*1000000+C36*'E Balans VL '!N24/100/3.6*1000000</f>
        <v>3.6151019122745836</v>
      </c>
      <c r="G14" s="34"/>
      <c r="H14" s="33"/>
      <c r="I14" s="33"/>
      <c r="J14" s="40">
        <f>C36*'E Balans VL '!D24/100/3.6*1000000+C36*'E Balans VL '!E24/100/3.6*1000000</f>
        <v>0</v>
      </c>
      <c r="K14" s="33"/>
      <c r="L14" s="33"/>
      <c r="M14" s="33"/>
      <c r="N14" s="33">
        <f>C36*'E Balans VL '!Y24/100/3.6*1000000</f>
        <v>4.6436474580281244</v>
      </c>
      <c r="O14" s="33"/>
      <c r="P14" s="33"/>
      <c r="R14" s="32"/>
    </row>
    <row r="15" spans="1:18">
      <c r="A15" s="6" t="s">
        <v>270</v>
      </c>
      <c r="B15" s="37">
        <f t="shared" si="0"/>
        <v>5246.2542088293603</v>
      </c>
      <c r="C15" s="33"/>
      <c r="D15" s="37">
        <f>IF( ISERROR(IND_rest_gas_kWh/1000),0,IND_rest_gas_kWh/1000)*0.902</f>
        <v>2683.0016520259614</v>
      </c>
      <c r="E15" s="33">
        <f>C37*'E Balans VL '!I15/100/3.6*1000000</f>
        <v>292.67889592874513</v>
      </c>
      <c r="F15" s="33">
        <f>C37*'E Balans VL '!L15/100/3.6*1000000+C37*'E Balans VL '!N15/100/3.6*1000000</f>
        <v>1233.2874615807648</v>
      </c>
      <c r="G15" s="34"/>
      <c r="H15" s="33"/>
      <c r="I15" s="33"/>
      <c r="J15" s="40">
        <f>C37*'E Balans VL '!D15/100/3.6*1000000+C37*'E Balans VL '!E15/100/3.6*1000000</f>
        <v>13.446479454370268</v>
      </c>
      <c r="K15" s="33"/>
      <c r="L15" s="33"/>
      <c r="M15" s="33"/>
      <c r="N15" s="33">
        <f>C37*'E Balans VL '!Y15/100/3.6*1000000</f>
        <v>1029.5937943515312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18721.107794482152</v>
      </c>
      <c r="C18" s="21">
        <f>C5+C16</f>
        <v>0</v>
      </c>
      <c r="D18" s="21">
        <f>MAX((D5+D16),0)</f>
        <v>8639.373748227943</v>
      </c>
      <c r="E18" s="21">
        <f>MAX((E5+E16),0)</f>
        <v>2234.6042670395095</v>
      </c>
      <c r="F18" s="21">
        <f>MAX((F5+F16),0)</f>
        <v>7500.7589666225822</v>
      </c>
      <c r="G18" s="21"/>
      <c r="H18" s="21"/>
      <c r="I18" s="21"/>
      <c r="J18" s="21">
        <f>MAX((J5+J16),0)</f>
        <v>13.45128980074152</v>
      </c>
      <c r="K18" s="21"/>
      <c r="L18" s="21">
        <f>MAX((L5+L16),0)</f>
        <v>0</v>
      </c>
      <c r="M18" s="21"/>
      <c r="N18" s="21">
        <f>MAX((N5+N16),0)</f>
        <v>6218.9112045436223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9.4706294241734768E-2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1773.0067433154609</v>
      </c>
      <c r="C22" s="23">
        <f ca="1">C18*C20</f>
        <v>0</v>
      </c>
      <c r="D22" s="23">
        <f>D18*D20</f>
        <v>1745.1534971420447</v>
      </c>
      <c r="E22" s="23">
        <f>E18*E20</f>
        <v>507.25516861796865</v>
      </c>
      <c r="F22" s="23">
        <f>F18*F20</f>
        <v>2002.7026440882296</v>
      </c>
      <c r="G22" s="23"/>
      <c r="H22" s="23"/>
      <c r="I22" s="23"/>
      <c r="J22" s="23">
        <f>J18*J20</f>
        <v>4.7617565894624976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5131.3150800266703</v>
      </c>
      <c r="C30" s="39">
        <f>IF(ISERROR(B30*3.6/1000000/'E Balans VL '!Z18*100),0,B30*3.6/1000000/'E Balans VL '!Z18*100)</f>
        <v>0.50490830502258099</v>
      </c>
      <c r="D30" s="239" t="s">
        <v>692</v>
      </c>
    </row>
    <row r="31" spans="1:18">
      <c r="A31" s="6" t="s">
        <v>33</v>
      </c>
      <c r="B31" s="37">
        <f>IF( ISERROR(IND_ander_ele_kWh/1000),0,IND_ander_ele_kWh/1000)</f>
        <v>6465.7235104238298</v>
      </c>
      <c r="C31" s="39">
        <f>IF(ISERROR(B31*3.6/1000000/'E Balans VL '!Z19*100),0,B31*3.6/1000000/'E Balans VL '!Z19*100)</f>
        <v>0.28157710122211976</v>
      </c>
      <c r="D31" s="239" t="s">
        <v>692</v>
      </c>
    </row>
    <row r="32" spans="1:18">
      <c r="A32" s="173" t="s">
        <v>41</v>
      </c>
      <c r="B32" s="37">
        <f>IF( ISERROR(IND_voed_ele_kWh/1000),0,IND_voed_ele_kWh/1000)</f>
        <v>363.62719240007101</v>
      </c>
      <c r="C32" s="39">
        <f>IF(ISERROR(B32*3.6/1000000/'E Balans VL '!Z20*100),0,B32*3.6/1000000/'E Balans VL '!Z20*100)</f>
        <v>6.8993015683311926E-2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1322.90713696696</v>
      </c>
      <c r="C35" s="39">
        <f>IF(ISERROR(B35*3.6/1000000/'E Balans VL '!Z22*100),0,B35*3.6/1000000/'E Balans VL '!Z22*100)</f>
        <v>0.18601402767695976</v>
      </c>
      <c r="D35" s="239" t="s">
        <v>692</v>
      </c>
    </row>
    <row r="36" spans="1:5">
      <c r="A36" s="173" t="s">
        <v>34</v>
      </c>
      <c r="B36" s="37">
        <f>IF( ISERROR(IND_chemie_ele_kWh/1000),0,IND_chemie_ele_kWh/1000)</f>
        <v>191.28066583526203</v>
      </c>
      <c r="C36" s="39">
        <f>IF(ISERROR(B36*3.6/1000000/'E Balans VL '!Z24*100),0,B36*3.6/1000000/'E Balans VL '!Z24*100)</f>
        <v>5.5744838257957095E-3</v>
      </c>
      <c r="D36" s="239" t="s">
        <v>692</v>
      </c>
    </row>
    <row r="37" spans="1:5">
      <c r="A37" s="173" t="s">
        <v>270</v>
      </c>
      <c r="B37" s="37">
        <f>IF( ISERROR(IND_rest_ele_kWh/1000),0,IND_rest_ele_kWh/1000)</f>
        <v>5246.2542088293603</v>
      </c>
      <c r="C37" s="39">
        <f>IF(ISERROR(B37*3.6/1000000/'E Balans VL '!Z15*100),0,B37*3.6/1000000/'E Balans VL '!Z15*100)</f>
        <v>4.0428832407435035E-2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5065.7607416036126</v>
      </c>
      <c r="C5" s="17">
        <f>'Eigen informatie GS &amp; warmtenet'!B60</f>
        <v>0</v>
      </c>
      <c r="D5" s="30">
        <f>IF(ISERROR(SUM(LB_lb_gas_kWh,LB_rest_gas_kWh)/1000),0,SUM(LB_lb_gas_kWh,LB_rest_gas_kWh)/1000)*0.902</f>
        <v>2068.6131228628756</v>
      </c>
      <c r="E5" s="17">
        <f>B17*'E Balans VL '!I25/3.6*1000000/100</f>
        <v>63.835111370916231</v>
      </c>
      <c r="F5" s="17">
        <f>B17*('E Balans VL '!L25/3.6*1000000+'E Balans VL '!N25/3.6*1000000)/100</f>
        <v>17478.14360742702</v>
      </c>
      <c r="G5" s="18"/>
      <c r="H5" s="17"/>
      <c r="I5" s="17"/>
      <c r="J5" s="17">
        <f>('E Balans VL '!D25+'E Balans VL '!E25)/3.6*1000000*landbouw!B17/100</f>
        <v>761.83283000145559</v>
      </c>
      <c r="K5" s="17"/>
      <c r="L5" s="17">
        <f>L6*(-1)</f>
        <v>0</v>
      </c>
      <c r="M5" s="17"/>
      <c r="N5" s="17">
        <f>N6*(-1)</f>
        <v>53944.285714285717</v>
      </c>
      <c r="O5" s="17"/>
      <c r="P5" s="17"/>
      <c r="R5" s="32"/>
    </row>
    <row r="6" spans="1:18">
      <c r="A6" s="16" t="s">
        <v>497</v>
      </c>
      <c r="B6" s="17" t="s">
        <v>211</v>
      </c>
      <c r="C6" s="17">
        <f>'lokale energieproductie'!O92+'lokale energieproductie'!O61</f>
        <v>26972.142857142855</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-53944.285714285717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5065.7607416036126</v>
      </c>
      <c r="C8" s="21">
        <f>C5+C6</f>
        <v>26972.142857142855</v>
      </c>
      <c r="D8" s="21">
        <f>MAX((D5+D6),0)</f>
        <v>2068.6131228628756</v>
      </c>
      <c r="E8" s="21">
        <f>MAX((E5+E6),0)</f>
        <v>63.835111370916231</v>
      </c>
      <c r="F8" s="21">
        <f>MAX((F5+F6),0)</f>
        <v>17478.14360742702</v>
      </c>
      <c r="G8" s="21"/>
      <c r="H8" s="21"/>
      <c r="I8" s="21"/>
      <c r="J8" s="21">
        <f>MAX((J5+J6),0)</f>
        <v>761.83283000145559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9.4706294241734768E-2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479.75942735254029</v>
      </c>
      <c r="C12" s="23">
        <f ca="1">C8*C10</f>
        <v>0</v>
      </c>
      <c r="D12" s="23">
        <f>D8*D10</f>
        <v>417.85985081830091</v>
      </c>
      <c r="E12" s="23">
        <f>E8*E10</f>
        <v>14.490570281197984</v>
      </c>
      <c r="F12" s="23">
        <f>F8*F10</f>
        <v>4666.6643431830144</v>
      </c>
      <c r="G12" s="23"/>
      <c r="H12" s="23"/>
      <c r="I12" s="23"/>
      <c r="J12" s="23">
        <f>J8*J10</f>
        <v>269.68882182051527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0.70651395994300481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370.87492848084082</v>
      </c>
      <c r="C26" s="249">
        <f>B26*'GWP N2O_CH4'!B5</f>
        <v>7788.3734980976569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264.01001250589707</v>
      </c>
      <c r="C27" s="249">
        <f>B27*'GWP N2O_CH4'!B5</f>
        <v>5544.2102626238384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8.7627321679614667</v>
      </c>
      <c r="C28" s="249">
        <f>B28*'GWP N2O_CH4'!B4</f>
        <v>2716.4469720680545</v>
      </c>
      <c r="D28" s="50"/>
    </row>
    <row r="29" spans="1:4">
      <c r="A29" s="41" t="s">
        <v>277</v>
      </c>
      <c r="B29" s="249">
        <f>B34*'ha_N2O bodem landbouw'!B4</f>
        <v>14.46268344998737</v>
      </c>
      <c r="C29" s="249">
        <f>B29*'GWP N2O_CH4'!B4</f>
        <v>4483.4318694960848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3.6111875422953649E-3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1.4608705769306776E-5</v>
      </c>
      <c r="C5" s="448" t="s">
        <v>211</v>
      </c>
      <c r="D5" s="433">
        <f>SUM(D6:D11)</f>
        <v>2.3592094049847114E-5</v>
      </c>
      <c r="E5" s="433">
        <f>SUM(E6:E11)</f>
        <v>7.9684141652266354E-4</v>
      </c>
      <c r="F5" s="446" t="s">
        <v>211</v>
      </c>
      <c r="G5" s="433">
        <f>SUM(G6:G11)</f>
        <v>0.26849529402282196</v>
      </c>
      <c r="H5" s="433">
        <f>SUM(H6:H11)</f>
        <v>3.6003044498183298E-2</v>
      </c>
      <c r="I5" s="448" t="s">
        <v>211</v>
      </c>
      <c r="J5" s="448" t="s">
        <v>211</v>
      </c>
      <c r="K5" s="448" t="s">
        <v>211</v>
      </c>
      <c r="L5" s="448" t="s">
        <v>211</v>
      </c>
      <c r="M5" s="433">
        <f>SUM(M6:M11)</f>
        <v>1.3758690165273316E-2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6.2605247853423708E-6</v>
      </c>
      <c r="C6" s="887"/>
      <c r="D6" s="887">
        <f>vkm_2011_GW_PW*SUMIFS(TableVerdeelsleutelVkm[CNG],TableVerdeelsleutelVkm[Voertuigtype],"Lichte voertuigen")*SUMIFS(TableECFTransport[EnergieConsumptieFactor (PJ per km)],TableECFTransport[Index],CONCATENATE($A6,"_CNG_CNG"))</f>
        <v>8.8661275333290693E-6</v>
      </c>
      <c r="E6" s="887">
        <f>vkm_2011_GW_PW*SUMIFS(TableVerdeelsleutelVkm[LPG],TableVerdeelsleutelVkm[Voertuigtype],"Lichte voertuigen")*SUMIFS(TableECFTransport[EnergieConsumptieFactor (PJ per km)],TableECFTransport[Index],CONCATENATE($A6,"_LPG_LPG"))</f>
        <v>2.784558777594555E-4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5.0046145923144526E-2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1.3410267501550284E-2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2.8709709040021392E-3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1.5639815954982789E-2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5.5566644745479272E-6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7.0577539744486311E-4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2.2804976566091857E-6</v>
      </c>
      <c r="C8" s="887"/>
      <c r="D8" s="436">
        <f>vkm_2011_NGW_PW*SUMIFS(TableVerdeelsleutelVkm[CNG],TableVerdeelsleutelVkm[Voertuigtype],"Lichte voertuigen")*SUMIFS(TableECFTransport[EnergieConsumptieFactor (PJ per km)],TableECFTransport[Index],CONCATENATE($A8,"_CNG_CNG"))</f>
        <v>5.7536421660181419E-6</v>
      </c>
      <c r="E8" s="436">
        <f>vkm_2011_NGW_PW*SUMIFS(TableVerdeelsleutelVkm[LPG],TableVerdeelsleutelVkm[Voertuigtype],"Lichte voertuigen")*SUMIFS(TableECFTransport[EnergieConsumptieFactor (PJ per km)],TableECFTransport[Index],CONCATENATE($A8,"_LPG_LPG"))</f>
        <v>1.664399308590478E-4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2.8213182248051728E-2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8.3971006217933072E-3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1.6567804765770812E-3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5.7164980514447621E-3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1.9219288109858662E-6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2.5796247631409069E-4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6.0676833273552191E-6</v>
      </c>
      <c r="C10" s="887"/>
      <c r="D10" s="436">
        <f>vkm_2011_SW_PW*SUMIFS(TableVerdeelsleutelVkm[CNG],TableVerdeelsleutelVkm[Voertuigtype],"Lichte voertuigen")*SUMIFS(TableECFTransport[EnergieConsumptieFactor (PJ per km)],TableECFTransport[Index],CONCATENATE($A10,"_CNG_CNG"))</f>
        <v>8.9723243504999054E-6</v>
      </c>
      <c r="E10" s="436">
        <f>vkm_2011_SW_PW*SUMIFS(TableVerdeelsleutelVkm[LPG],TableVerdeelsleutelVkm[Voertuigtype],"Lichte voertuigen")*SUMIFS(TableECFTransport[EnergieConsumptieFactor (PJ per km)],TableECFTransport[Index],CONCATENATE($A10,"_LPG_LPG"))</f>
        <v>3.5194560790416027E-4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5.7286398400029033E-2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1.4145441502646051E-2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3.2312083811294095E-3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0.11159325344516911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4.2756278908126705E-5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5.0359925298057327E-3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4.057973824807438</v>
      </c>
      <c r="C14" s="21"/>
      <c r="D14" s="21">
        <f t="shared" ref="D14:M14" si="0">((D5)*10^9/3600)+D12</f>
        <v>6.5533594582908652</v>
      </c>
      <c r="E14" s="21">
        <f t="shared" si="0"/>
        <v>221.34483792296209</v>
      </c>
      <c r="F14" s="21"/>
      <c r="G14" s="21">
        <f t="shared" si="0"/>
        <v>74582.026117450543</v>
      </c>
      <c r="H14" s="21">
        <f t="shared" si="0"/>
        <v>10000.845693939804</v>
      </c>
      <c r="I14" s="21"/>
      <c r="J14" s="21"/>
      <c r="K14" s="21"/>
      <c r="L14" s="21"/>
      <c r="M14" s="21">
        <f t="shared" si="0"/>
        <v>3821.8583792425879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9.4706294241734768E-2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0.38431566307747106</v>
      </c>
      <c r="C18" s="23"/>
      <c r="D18" s="23">
        <f t="shared" ref="D18:M18" si="1">D14*D16</f>
        <v>1.3237786105747549</v>
      </c>
      <c r="E18" s="23">
        <f t="shared" si="1"/>
        <v>50.245278208512396</v>
      </c>
      <c r="F18" s="23"/>
      <c r="G18" s="23">
        <f t="shared" si="1"/>
        <v>19913.400973359297</v>
      </c>
      <c r="H18" s="23">
        <f t="shared" si="1"/>
        <v>2490.210577791011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2.733561583982773E-3</v>
      </c>
      <c r="H50" s="323">
        <f t="shared" si="2"/>
        <v>0</v>
      </c>
      <c r="I50" s="323">
        <f t="shared" si="2"/>
        <v>0</v>
      </c>
      <c r="J50" s="323">
        <f t="shared" si="2"/>
        <v>0</v>
      </c>
      <c r="K50" s="323">
        <f t="shared" si="2"/>
        <v>0</v>
      </c>
      <c r="L50" s="323">
        <f t="shared" si="2"/>
        <v>0</v>
      </c>
      <c r="M50" s="323">
        <f t="shared" si="2"/>
        <v>1.2156816970276349E-4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2.733561583982773E-3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1.2156816970276349E-4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759.32266221743703</v>
      </c>
      <c r="H54" s="21">
        <f t="shared" si="3"/>
        <v>0</v>
      </c>
      <c r="I54" s="21">
        <f t="shared" si="3"/>
        <v>0</v>
      </c>
      <c r="J54" s="21">
        <f t="shared" si="3"/>
        <v>0</v>
      </c>
      <c r="K54" s="21">
        <f t="shared" si="3"/>
        <v>0</v>
      </c>
      <c r="L54" s="21">
        <f t="shared" si="3"/>
        <v>0</v>
      </c>
      <c r="M54" s="21">
        <f t="shared" si="3"/>
        <v>33.768936028545419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9.4706294241734768E-2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202.7391508120557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44034.555045247333</v>
      </c>
      <c r="D10" s="690">
        <f ca="1">tertiair!C16</f>
        <v>0</v>
      </c>
      <c r="E10" s="690">
        <f ca="1">tertiair!D16</f>
        <v>15058.828074899473</v>
      </c>
      <c r="F10" s="690">
        <f>tertiair!E16</f>
        <v>547.07423830713583</v>
      </c>
      <c r="G10" s="690">
        <f ca="1">tertiair!F16</f>
        <v>8679.7902590587437</v>
      </c>
      <c r="H10" s="690">
        <f>tertiair!G16</f>
        <v>0</v>
      </c>
      <c r="I10" s="690">
        <f>tertiair!H16</f>
        <v>0</v>
      </c>
      <c r="J10" s="690">
        <f>tertiair!I16</f>
        <v>0</v>
      </c>
      <c r="K10" s="690">
        <f>tertiair!J16</f>
        <v>0</v>
      </c>
      <c r="L10" s="690">
        <f>tertiair!K16</f>
        <v>0</v>
      </c>
      <c r="M10" s="690">
        <f ca="1">tertiair!L16</f>
        <v>0</v>
      </c>
      <c r="N10" s="690">
        <f>tertiair!M16</f>
        <v>0</v>
      </c>
      <c r="O10" s="690">
        <f ca="1">tertiair!N16</f>
        <v>4155.0677277076666</v>
      </c>
      <c r="P10" s="690">
        <f>tertiair!O16</f>
        <v>6.2533333333333339</v>
      </c>
      <c r="Q10" s="691">
        <f>tertiair!P16</f>
        <v>57.2</v>
      </c>
      <c r="R10" s="693">
        <f ca="1">SUM(C10:Q10)</f>
        <v>72538.768678553664</v>
      </c>
      <c r="S10" s="67"/>
    </row>
    <row r="11" spans="1:19" s="458" customFormat="1">
      <c r="A11" s="805" t="s">
        <v>225</v>
      </c>
      <c r="B11" s="810"/>
      <c r="C11" s="690">
        <f>huishoudens!B8</f>
        <v>21936.778599331712</v>
      </c>
      <c r="D11" s="690">
        <f>huishoudens!C8</f>
        <v>0</v>
      </c>
      <c r="E11" s="690">
        <f>huishoudens!D8</f>
        <v>66104.271473030371</v>
      </c>
      <c r="F11" s="690">
        <f>huishoudens!E8</f>
        <v>4572.39686788372</v>
      </c>
      <c r="G11" s="690">
        <f>huishoudens!F8</f>
        <v>11753.341504328419</v>
      </c>
      <c r="H11" s="690">
        <f>huishoudens!G8</f>
        <v>0</v>
      </c>
      <c r="I11" s="690">
        <f>huishoudens!H8</f>
        <v>0</v>
      </c>
      <c r="J11" s="690">
        <f>huishoudens!I8</f>
        <v>0</v>
      </c>
      <c r="K11" s="690">
        <f>huishoudens!J8</f>
        <v>0</v>
      </c>
      <c r="L11" s="690">
        <f>huishoudens!K8</f>
        <v>0</v>
      </c>
      <c r="M11" s="690">
        <f>huishoudens!L8</f>
        <v>0</v>
      </c>
      <c r="N11" s="690">
        <f>huishoudens!M8</f>
        <v>0</v>
      </c>
      <c r="O11" s="690">
        <f>huishoudens!N8</f>
        <v>29228.597981379233</v>
      </c>
      <c r="P11" s="690">
        <f>huishoudens!O8</f>
        <v>229.81</v>
      </c>
      <c r="Q11" s="691">
        <f>huishoudens!P8</f>
        <v>610.13333333333333</v>
      </c>
      <c r="R11" s="693">
        <f>SUM(C11:Q11)</f>
        <v>134435.32975928677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18721.107794482152</v>
      </c>
      <c r="D13" s="690">
        <f>industrie!C18</f>
        <v>0</v>
      </c>
      <c r="E13" s="690">
        <f>industrie!D18</f>
        <v>8639.373748227943</v>
      </c>
      <c r="F13" s="690">
        <f>industrie!E18</f>
        <v>2234.6042670395095</v>
      </c>
      <c r="G13" s="690">
        <f>industrie!F18</f>
        <v>7500.7589666225822</v>
      </c>
      <c r="H13" s="690">
        <f>industrie!G18</f>
        <v>0</v>
      </c>
      <c r="I13" s="690">
        <f>industrie!H18</f>
        <v>0</v>
      </c>
      <c r="J13" s="690">
        <f>industrie!I18</f>
        <v>0</v>
      </c>
      <c r="K13" s="690">
        <f>industrie!J18</f>
        <v>13.45128980074152</v>
      </c>
      <c r="L13" s="690">
        <f>industrie!K18</f>
        <v>0</v>
      </c>
      <c r="M13" s="690">
        <f>industrie!L18</f>
        <v>0</v>
      </c>
      <c r="N13" s="690">
        <f>industrie!M18</f>
        <v>0</v>
      </c>
      <c r="O13" s="690">
        <f>industrie!N18</f>
        <v>6218.9112045436223</v>
      </c>
      <c r="P13" s="690">
        <f>industrie!O18</f>
        <v>0</v>
      </c>
      <c r="Q13" s="691">
        <f>industrie!P18</f>
        <v>0</v>
      </c>
      <c r="R13" s="693">
        <f>SUM(C13:Q13)</f>
        <v>43328.20727071655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84692.441439061193</v>
      </c>
      <c r="D16" s="725">
        <f t="shared" ref="D16:R16" ca="1" si="0">SUM(D9:D15)</f>
        <v>0</v>
      </c>
      <c r="E16" s="725">
        <f t="shared" ca="1" si="0"/>
        <v>89802.473296157783</v>
      </c>
      <c r="F16" s="725">
        <f t="shared" si="0"/>
        <v>7354.0753732303656</v>
      </c>
      <c r="G16" s="725">
        <f t="shared" ca="1" si="0"/>
        <v>27933.890730009745</v>
      </c>
      <c r="H16" s="725">
        <f t="shared" si="0"/>
        <v>0</v>
      </c>
      <c r="I16" s="725">
        <f t="shared" si="0"/>
        <v>0</v>
      </c>
      <c r="J16" s="725">
        <f t="shared" si="0"/>
        <v>0</v>
      </c>
      <c r="K16" s="725">
        <f t="shared" si="0"/>
        <v>13.45128980074152</v>
      </c>
      <c r="L16" s="725">
        <f t="shared" si="0"/>
        <v>0</v>
      </c>
      <c r="M16" s="725">
        <f t="shared" ca="1" si="0"/>
        <v>0</v>
      </c>
      <c r="N16" s="725">
        <f t="shared" si="0"/>
        <v>0</v>
      </c>
      <c r="O16" s="725">
        <f t="shared" ca="1" si="0"/>
        <v>39602.576913630517</v>
      </c>
      <c r="P16" s="725">
        <f t="shared" si="0"/>
        <v>236.06333333333333</v>
      </c>
      <c r="Q16" s="725">
        <f t="shared" si="0"/>
        <v>667.33333333333337</v>
      </c>
      <c r="R16" s="725">
        <f t="shared" ca="1" si="0"/>
        <v>250302.30570855699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759.32266221743703</v>
      </c>
      <c r="I19" s="690">
        <f>transport!H54</f>
        <v>0</v>
      </c>
      <c r="J19" s="690">
        <f>transport!I54</f>
        <v>0</v>
      </c>
      <c r="K19" s="690">
        <f>transport!J54</f>
        <v>0</v>
      </c>
      <c r="L19" s="690">
        <f>transport!K54</f>
        <v>0</v>
      </c>
      <c r="M19" s="690">
        <f>transport!L54</f>
        <v>0</v>
      </c>
      <c r="N19" s="690">
        <f>transport!M54</f>
        <v>33.768936028545419</v>
      </c>
      <c r="O19" s="690">
        <f>transport!N54</f>
        <v>0</v>
      </c>
      <c r="P19" s="690">
        <f>transport!O54</f>
        <v>0</v>
      </c>
      <c r="Q19" s="691">
        <f>transport!P54</f>
        <v>0</v>
      </c>
      <c r="R19" s="693">
        <f>SUM(C19:Q19)</f>
        <v>793.09159824598248</v>
      </c>
      <c r="S19" s="67"/>
    </row>
    <row r="20" spans="1:19" s="458" customFormat="1">
      <c r="A20" s="805" t="s">
        <v>307</v>
      </c>
      <c r="B20" s="810"/>
      <c r="C20" s="690">
        <f>transport!B14</f>
        <v>4.057973824807438</v>
      </c>
      <c r="D20" s="690">
        <f>transport!C14</f>
        <v>0</v>
      </c>
      <c r="E20" s="690">
        <f>transport!D14</f>
        <v>6.5533594582908652</v>
      </c>
      <c r="F20" s="690">
        <f>transport!E14</f>
        <v>221.34483792296209</v>
      </c>
      <c r="G20" s="690">
        <f>transport!F14</f>
        <v>0</v>
      </c>
      <c r="H20" s="690">
        <f>transport!G14</f>
        <v>74582.026117450543</v>
      </c>
      <c r="I20" s="690">
        <f>transport!H14</f>
        <v>10000.845693939804</v>
      </c>
      <c r="J20" s="690">
        <f>transport!I14</f>
        <v>0</v>
      </c>
      <c r="K20" s="690">
        <f>transport!J14</f>
        <v>0</v>
      </c>
      <c r="L20" s="690">
        <f>transport!K14</f>
        <v>0</v>
      </c>
      <c r="M20" s="690">
        <f>transport!L14</f>
        <v>0</v>
      </c>
      <c r="N20" s="690">
        <f>transport!M14</f>
        <v>3821.8583792425879</v>
      </c>
      <c r="O20" s="690">
        <f>transport!N14</f>
        <v>0</v>
      </c>
      <c r="P20" s="690">
        <f>transport!O14</f>
        <v>0</v>
      </c>
      <c r="Q20" s="691">
        <f>transport!P14</f>
        <v>0</v>
      </c>
      <c r="R20" s="693">
        <f>SUM(C20:Q20)</f>
        <v>88636.686361839005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4.057973824807438</v>
      </c>
      <c r="D22" s="808">
        <f t="shared" ref="D22:R22" si="1">SUM(D18:D21)</f>
        <v>0</v>
      </c>
      <c r="E22" s="808">
        <f t="shared" si="1"/>
        <v>6.5533594582908652</v>
      </c>
      <c r="F22" s="808">
        <f t="shared" si="1"/>
        <v>221.34483792296209</v>
      </c>
      <c r="G22" s="808">
        <f t="shared" si="1"/>
        <v>0</v>
      </c>
      <c r="H22" s="808">
        <f t="shared" si="1"/>
        <v>75341.348779667984</v>
      </c>
      <c r="I22" s="808">
        <f t="shared" si="1"/>
        <v>10000.845693939804</v>
      </c>
      <c r="J22" s="808">
        <f t="shared" si="1"/>
        <v>0</v>
      </c>
      <c r="K22" s="808">
        <f t="shared" si="1"/>
        <v>0</v>
      </c>
      <c r="L22" s="808">
        <f t="shared" si="1"/>
        <v>0</v>
      </c>
      <c r="M22" s="808">
        <f t="shared" si="1"/>
        <v>0</v>
      </c>
      <c r="N22" s="808">
        <f t="shared" si="1"/>
        <v>3855.6273152711333</v>
      </c>
      <c r="O22" s="808">
        <f t="shared" si="1"/>
        <v>0</v>
      </c>
      <c r="P22" s="808">
        <f t="shared" si="1"/>
        <v>0</v>
      </c>
      <c r="Q22" s="808">
        <f t="shared" si="1"/>
        <v>0</v>
      </c>
      <c r="R22" s="808">
        <f t="shared" si="1"/>
        <v>89429.77796008499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5065.7607416036126</v>
      </c>
      <c r="D24" s="690">
        <f>+landbouw!C8</f>
        <v>26972.142857142855</v>
      </c>
      <c r="E24" s="690">
        <f>+landbouw!D8</f>
        <v>2068.6131228628756</v>
      </c>
      <c r="F24" s="690">
        <f>+landbouw!E8</f>
        <v>63.835111370916231</v>
      </c>
      <c r="G24" s="690">
        <f>+landbouw!F8</f>
        <v>17478.14360742702</v>
      </c>
      <c r="H24" s="690">
        <f>+landbouw!G8</f>
        <v>0</v>
      </c>
      <c r="I24" s="690">
        <f>+landbouw!H8</f>
        <v>0</v>
      </c>
      <c r="J24" s="690">
        <f>+landbouw!I8</f>
        <v>0</v>
      </c>
      <c r="K24" s="690">
        <f>+landbouw!J8</f>
        <v>761.83283000145559</v>
      </c>
      <c r="L24" s="690">
        <f>+landbouw!K8</f>
        <v>0</v>
      </c>
      <c r="M24" s="690">
        <f>+landbouw!L8</f>
        <v>0</v>
      </c>
      <c r="N24" s="690">
        <f>+landbouw!M8</f>
        <v>0</v>
      </c>
      <c r="O24" s="690">
        <f>+landbouw!N8</f>
        <v>0</v>
      </c>
      <c r="P24" s="690">
        <f>+landbouw!O8</f>
        <v>0</v>
      </c>
      <c r="Q24" s="691">
        <f>+landbouw!P8</f>
        <v>0</v>
      </c>
      <c r="R24" s="693">
        <f>SUM(C24:Q24)</f>
        <v>52410.328270408732</v>
      </c>
      <c r="S24" s="67"/>
    </row>
    <row r="25" spans="1:19" s="458" customFormat="1" ht="15" thickBot="1">
      <c r="A25" s="827" t="s">
        <v>872</v>
      </c>
      <c r="B25" s="1004"/>
      <c r="C25" s="1005">
        <f>IF(Onbekend_ele_kWh="---",0,Onbekend_ele_kWh)/1000+IF(REST_rest_ele_kWh="---",0,REST_rest_ele_kWh)/1000</f>
        <v>780.17919175347197</v>
      </c>
      <c r="D25" s="1005"/>
      <c r="E25" s="1005">
        <f>IF(onbekend_gas_kWh="---",0,onbekend_gas_kWh)/1000+IF(REST_rest_gas_kWh="---",0,REST_rest_gas_kWh)/1000</f>
        <v>2900.67557830533</v>
      </c>
      <c r="F25" s="1005"/>
      <c r="G25" s="1005"/>
      <c r="H25" s="1005"/>
      <c r="I25" s="1005"/>
      <c r="J25" s="1005"/>
      <c r="K25" s="1005"/>
      <c r="L25" s="1005"/>
      <c r="M25" s="1005"/>
      <c r="N25" s="1005"/>
      <c r="O25" s="1005"/>
      <c r="P25" s="1005"/>
      <c r="Q25" s="1006"/>
      <c r="R25" s="693">
        <f>SUM(C25:Q25)</f>
        <v>3680.8547700588019</v>
      </c>
      <c r="S25" s="67"/>
    </row>
    <row r="26" spans="1:19" s="458" customFormat="1" ht="15.75" thickBot="1">
      <c r="A26" s="698" t="s">
        <v>873</v>
      </c>
      <c r="B26" s="813"/>
      <c r="C26" s="808">
        <f>SUM(C24:C25)</f>
        <v>5845.9399333570846</v>
      </c>
      <c r="D26" s="808">
        <f t="shared" ref="D26:R26" si="2">SUM(D24:D25)</f>
        <v>26972.142857142855</v>
      </c>
      <c r="E26" s="808">
        <f t="shared" si="2"/>
        <v>4969.2887011682051</v>
      </c>
      <c r="F26" s="808">
        <f t="shared" si="2"/>
        <v>63.835111370916231</v>
      </c>
      <c r="G26" s="808">
        <f t="shared" si="2"/>
        <v>17478.14360742702</v>
      </c>
      <c r="H26" s="808">
        <f t="shared" si="2"/>
        <v>0</v>
      </c>
      <c r="I26" s="808">
        <f t="shared" si="2"/>
        <v>0</v>
      </c>
      <c r="J26" s="808">
        <f t="shared" si="2"/>
        <v>0</v>
      </c>
      <c r="K26" s="808">
        <f t="shared" si="2"/>
        <v>761.83283000145559</v>
      </c>
      <c r="L26" s="808">
        <f t="shared" si="2"/>
        <v>0</v>
      </c>
      <c r="M26" s="808">
        <f t="shared" si="2"/>
        <v>0</v>
      </c>
      <c r="N26" s="808">
        <f t="shared" si="2"/>
        <v>0</v>
      </c>
      <c r="O26" s="808">
        <f t="shared" si="2"/>
        <v>0</v>
      </c>
      <c r="P26" s="808">
        <f t="shared" si="2"/>
        <v>0</v>
      </c>
      <c r="Q26" s="808">
        <f t="shared" si="2"/>
        <v>0</v>
      </c>
      <c r="R26" s="808">
        <f t="shared" si="2"/>
        <v>56091.183040467535</v>
      </c>
      <c r="S26" s="67"/>
    </row>
    <row r="27" spans="1:19" s="458" customFormat="1" ht="17.25" thickTop="1" thickBot="1">
      <c r="A27" s="699" t="s">
        <v>116</v>
      </c>
      <c r="B27" s="800"/>
      <c r="C27" s="700">
        <f ca="1">C22+C16+C26</f>
        <v>90542.439346243089</v>
      </c>
      <c r="D27" s="700">
        <f t="shared" ref="D27:R27" ca="1" si="3">D22+D16+D26</f>
        <v>26972.142857142855</v>
      </c>
      <c r="E27" s="700">
        <f t="shared" ca="1" si="3"/>
        <v>94778.315356784282</v>
      </c>
      <c r="F27" s="700">
        <f t="shared" si="3"/>
        <v>7639.2553225242436</v>
      </c>
      <c r="G27" s="700">
        <f t="shared" ca="1" si="3"/>
        <v>45412.034337436766</v>
      </c>
      <c r="H27" s="700">
        <f t="shared" si="3"/>
        <v>75341.348779667984</v>
      </c>
      <c r="I27" s="700">
        <f t="shared" si="3"/>
        <v>10000.845693939804</v>
      </c>
      <c r="J27" s="700">
        <f t="shared" si="3"/>
        <v>0</v>
      </c>
      <c r="K27" s="700">
        <f t="shared" si="3"/>
        <v>775.2841198021971</v>
      </c>
      <c r="L27" s="700">
        <f t="shared" si="3"/>
        <v>0</v>
      </c>
      <c r="M27" s="700">
        <f t="shared" ca="1" si="3"/>
        <v>0</v>
      </c>
      <c r="N27" s="700">
        <f t="shared" si="3"/>
        <v>3855.6273152711333</v>
      </c>
      <c r="O27" s="700">
        <f t="shared" ca="1" si="3"/>
        <v>39602.576913630517</v>
      </c>
      <c r="P27" s="700">
        <f t="shared" si="3"/>
        <v>236.06333333333333</v>
      </c>
      <c r="Q27" s="700">
        <f t="shared" si="3"/>
        <v>667.33333333333337</v>
      </c>
      <c r="R27" s="700">
        <f t="shared" ca="1" si="3"/>
        <v>395823.26670910954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4170.3495269190598</v>
      </c>
      <c r="D40" s="690">
        <f ca="1">tertiair!C20</f>
        <v>0</v>
      </c>
      <c r="E40" s="690">
        <f ca="1">tertiair!D20</f>
        <v>3041.8832711296936</v>
      </c>
      <c r="F40" s="690">
        <f>tertiair!E20</f>
        <v>124.18585209571984</v>
      </c>
      <c r="G40" s="690">
        <f ca="1">tertiair!F20</f>
        <v>2317.5039991686849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9653.9226493131573</v>
      </c>
    </row>
    <row r="41" spans="1:18">
      <c r="A41" s="818" t="s">
        <v>225</v>
      </c>
      <c r="B41" s="825"/>
      <c r="C41" s="690">
        <f ca="1">huishoudens!B12</f>
        <v>2077.5510087440994</v>
      </c>
      <c r="D41" s="690">
        <f ca="1">huishoudens!C12</f>
        <v>0</v>
      </c>
      <c r="E41" s="690">
        <f>huishoudens!D12</f>
        <v>13353.062837552136</v>
      </c>
      <c r="F41" s="690">
        <f>huishoudens!E12</f>
        <v>1037.9340890096046</v>
      </c>
      <c r="G41" s="690">
        <f>huishoudens!F12</f>
        <v>3138.1421816556881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19606.690116961527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1773.0067433154609</v>
      </c>
      <c r="D43" s="690">
        <f ca="1">industrie!C22</f>
        <v>0</v>
      </c>
      <c r="E43" s="690">
        <f>industrie!D22</f>
        <v>1745.1534971420447</v>
      </c>
      <c r="F43" s="690">
        <f>industrie!E22</f>
        <v>507.25516861796865</v>
      </c>
      <c r="G43" s="690">
        <f>industrie!F22</f>
        <v>2002.7026440882296</v>
      </c>
      <c r="H43" s="690">
        <f>industrie!G22</f>
        <v>0</v>
      </c>
      <c r="I43" s="690">
        <f>industrie!H22</f>
        <v>0</v>
      </c>
      <c r="J43" s="690">
        <f>industrie!I22</f>
        <v>0</v>
      </c>
      <c r="K43" s="690">
        <f>industrie!J22</f>
        <v>4.7617565894624976</v>
      </c>
      <c r="L43" s="690">
        <f>industrie!K22</f>
        <v>0</v>
      </c>
      <c r="M43" s="690">
        <f>industrie!L22</f>
        <v>0</v>
      </c>
      <c r="N43" s="690">
        <f>industrie!M22</f>
        <v>0</v>
      </c>
      <c r="O43" s="690">
        <f>industrie!N22</f>
        <v>0</v>
      </c>
      <c r="P43" s="690">
        <f>industrie!O22</f>
        <v>0</v>
      </c>
      <c r="Q43" s="767">
        <f>industrie!P22</f>
        <v>0</v>
      </c>
      <c r="R43" s="845">
        <f t="shared" ca="1" si="4"/>
        <v>6032.8798097531662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8020.9072789786196</v>
      </c>
      <c r="D46" s="725">
        <f t="shared" ref="D46:Q46" ca="1" si="5">SUM(D39:D45)</f>
        <v>0</v>
      </c>
      <c r="E46" s="725">
        <f t="shared" ca="1" si="5"/>
        <v>18140.099605823874</v>
      </c>
      <c r="F46" s="725">
        <f t="shared" si="5"/>
        <v>1669.375109723293</v>
      </c>
      <c r="G46" s="725">
        <f t="shared" ca="1" si="5"/>
        <v>7458.3488249126021</v>
      </c>
      <c r="H46" s="725">
        <f t="shared" si="5"/>
        <v>0</v>
      </c>
      <c r="I46" s="725">
        <f t="shared" si="5"/>
        <v>0</v>
      </c>
      <c r="J46" s="725">
        <f t="shared" si="5"/>
        <v>0</v>
      </c>
      <c r="K46" s="725">
        <f t="shared" si="5"/>
        <v>4.7617565894624976</v>
      </c>
      <c r="L46" s="725">
        <f t="shared" si="5"/>
        <v>0</v>
      </c>
      <c r="M46" s="725">
        <f t="shared" ca="1" si="5"/>
        <v>0</v>
      </c>
      <c r="N46" s="725">
        <f t="shared" si="5"/>
        <v>0</v>
      </c>
      <c r="O46" s="725">
        <f t="shared" ca="1" si="5"/>
        <v>0</v>
      </c>
      <c r="P46" s="725">
        <f t="shared" si="5"/>
        <v>0</v>
      </c>
      <c r="Q46" s="725">
        <f t="shared" si="5"/>
        <v>0</v>
      </c>
      <c r="R46" s="725">
        <f ca="1">SUM(R39:R45)</f>
        <v>35293.492576027849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202.7391508120557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202.7391508120557</v>
      </c>
    </row>
    <row r="50" spans="1:18">
      <c r="A50" s="821" t="s">
        <v>307</v>
      </c>
      <c r="B50" s="831"/>
      <c r="C50" s="696">
        <f ca="1">transport!B18</f>
        <v>0.38431566307747106</v>
      </c>
      <c r="D50" s="696">
        <f>transport!C18</f>
        <v>0</v>
      </c>
      <c r="E50" s="696">
        <f>transport!D18</f>
        <v>1.3237786105747549</v>
      </c>
      <c r="F50" s="696">
        <f>transport!E18</f>
        <v>50.245278208512396</v>
      </c>
      <c r="G50" s="696">
        <f>transport!F18</f>
        <v>0</v>
      </c>
      <c r="H50" s="696">
        <f>transport!G18</f>
        <v>19913.400973359297</v>
      </c>
      <c r="I50" s="696">
        <f>transport!H18</f>
        <v>2490.210577791011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22455.564923632472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0.38431566307747106</v>
      </c>
      <c r="D52" s="725">
        <f t="shared" ref="D52:Q52" ca="1" si="6">SUM(D48:D51)</f>
        <v>0</v>
      </c>
      <c r="E52" s="725">
        <f t="shared" si="6"/>
        <v>1.3237786105747549</v>
      </c>
      <c r="F52" s="725">
        <f t="shared" si="6"/>
        <v>50.245278208512396</v>
      </c>
      <c r="G52" s="725">
        <f t="shared" si="6"/>
        <v>0</v>
      </c>
      <c r="H52" s="725">
        <f t="shared" si="6"/>
        <v>20116.140124171354</v>
      </c>
      <c r="I52" s="725">
        <f t="shared" si="6"/>
        <v>2490.210577791011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22658.304074444528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479.75942735254029</v>
      </c>
      <c r="D54" s="696">
        <f ca="1">+landbouw!C12</f>
        <v>0</v>
      </c>
      <c r="E54" s="696">
        <f>+landbouw!D12</f>
        <v>417.85985081830091</v>
      </c>
      <c r="F54" s="696">
        <f>+landbouw!E12</f>
        <v>14.490570281197984</v>
      </c>
      <c r="G54" s="696">
        <f>+landbouw!F12</f>
        <v>4666.6643431830144</v>
      </c>
      <c r="H54" s="696">
        <f>+landbouw!G12</f>
        <v>0</v>
      </c>
      <c r="I54" s="696">
        <f>+landbouw!H12</f>
        <v>0</v>
      </c>
      <c r="J54" s="696">
        <f>+landbouw!I12</f>
        <v>0</v>
      </c>
      <c r="K54" s="696">
        <f>+landbouw!J12</f>
        <v>269.68882182051527</v>
      </c>
      <c r="L54" s="696">
        <f>+landbouw!K12</f>
        <v>0</v>
      </c>
      <c r="M54" s="696">
        <f>+landbouw!L12</f>
        <v>0</v>
      </c>
      <c r="N54" s="696">
        <f>+landbouw!M12</f>
        <v>0</v>
      </c>
      <c r="O54" s="696">
        <f>+landbouw!N12</f>
        <v>0</v>
      </c>
      <c r="P54" s="696">
        <f>+landbouw!O12</f>
        <v>0</v>
      </c>
      <c r="Q54" s="697">
        <f>+landbouw!P12</f>
        <v>0</v>
      </c>
      <c r="R54" s="724">
        <f ca="1">SUM(C54:Q54)</f>
        <v>5848.4630134555682</v>
      </c>
    </row>
    <row r="55" spans="1:18" ht="15" thickBot="1">
      <c r="A55" s="821" t="s">
        <v>872</v>
      </c>
      <c r="B55" s="831"/>
      <c r="C55" s="696">
        <f ca="1">C25*'EF ele_warmte'!B12</f>
        <v>73.887880095483126</v>
      </c>
      <c r="D55" s="696"/>
      <c r="E55" s="696">
        <f>E25*EF_CO2_aardgas</f>
        <v>585.93646681767666</v>
      </c>
      <c r="F55" s="696"/>
      <c r="G55" s="696"/>
      <c r="H55" s="696"/>
      <c r="I55" s="696"/>
      <c r="J55" s="696"/>
      <c r="K55" s="696"/>
      <c r="L55" s="696"/>
      <c r="M55" s="696"/>
      <c r="N55" s="696"/>
      <c r="O55" s="696"/>
      <c r="P55" s="696"/>
      <c r="Q55" s="697"/>
      <c r="R55" s="724">
        <f ca="1">SUM(C55:Q55)</f>
        <v>659.82434691315984</v>
      </c>
    </row>
    <row r="56" spans="1:18" ht="15.75" thickBot="1">
      <c r="A56" s="819" t="s">
        <v>873</v>
      </c>
      <c r="B56" s="832"/>
      <c r="C56" s="725">
        <f ca="1">SUM(C54:C55)</f>
        <v>553.64730744802341</v>
      </c>
      <c r="D56" s="725">
        <f t="shared" ref="D56:Q56" ca="1" si="7">SUM(D54:D55)</f>
        <v>0</v>
      </c>
      <c r="E56" s="725">
        <f t="shared" si="7"/>
        <v>1003.7963176359776</v>
      </c>
      <c r="F56" s="725">
        <f t="shared" si="7"/>
        <v>14.490570281197984</v>
      </c>
      <c r="G56" s="725">
        <f t="shared" si="7"/>
        <v>4666.6643431830144</v>
      </c>
      <c r="H56" s="725">
        <f t="shared" si="7"/>
        <v>0</v>
      </c>
      <c r="I56" s="725">
        <f t="shared" si="7"/>
        <v>0</v>
      </c>
      <c r="J56" s="725">
        <f t="shared" si="7"/>
        <v>0</v>
      </c>
      <c r="K56" s="725">
        <f t="shared" si="7"/>
        <v>269.68882182051527</v>
      </c>
      <c r="L56" s="725">
        <f t="shared" si="7"/>
        <v>0</v>
      </c>
      <c r="M56" s="725">
        <f t="shared" si="7"/>
        <v>0</v>
      </c>
      <c r="N56" s="725">
        <f t="shared" si="7"/>
        <v>0</v>
      </c>
      <c r="O56" s="725">
        <f t="shared" si="7"/>
        <v>0</v>
      </c>
      <c r="P56" s="725">
        <f t="shared" si="7"/>
        <v>0</v>
      </c>
      <c r="Q56" s="726">
        <f t="shared" si="7"/>
        <v>0</v>
      </c>
      <c r="R56" s="727">
        <f ca="1">SUM(R54:R55)</f>
        <v>6508.2873603687276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8574.9389020897197</v>
      </c>
      <c r="D61" s="733">
        <f t="shared" ref="D61:Q61" ca="1" si="8">D46+D52+D56</f>
        <v>0</v>
      </c>
      <c r="E61" s="733">
        <f t="shared" ca="1" si="8"/>
        <v>19145.219702070426</v>
      </c>
      <c r="F61" s="733">
        <f t="shared" si="8"/>
        <v>1734.1109582130034</v>
      </c>
      <c r="G61" s="733">
        <f t="shared" ca="1" si="8"/>
        <v>12125.013168095616</v>
      </c>
      <c r="H61" s="733">
        <f t="shared" si="8"/>
        <v>20116.140124171354</v>
      </c>
      <c r="I61" s="733">
        <f t="shared" si="8"/>
        <v>2490.210577791011</v>
      </c>
      <c r="J61" s="733">
        <f t="shared" si="8"/>
        <v>0</v>
      </c>
      <c r="K61" s="733">
        <f t="shared" si="8"/>
        <v>274.45057840997777</v>
      </c>
      <c r="L61" s="733">
        <f t="shared" si="8"/>
        <v>0</v>
      </c>
      <c r="M61" s="733">
        <f t="shared" ca="1" si="8"/>
        <v>0</v>
      </c>
      <c r="N61" s="733">
        <f t="shared" si="8"/>
        <v>0</v>
      </c>
      <c r="O61" s="733">
        <f t="shared" ca="1" si="8"/>
        <v>0</v>
      </c>
      <c r="P61" s="733">
        <f t="shared" si="8"/>
        <v>0</v>
      </c>
      <c r="Q61" s="733">
        <f t="shared" si="8"/>
        <v>0</v>
      </c>
      <c r="R61" s="733">
        <f ca="1">R46+R52+R56</f>
        <v>64460.084010841099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9.4706294241734754E-2</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25394.132829999999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7467.1779999999999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18880.5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22212.352941176472</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51741.810830000002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22212.352941176472</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26972.142857142855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31731.932773109245</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26972.142857142855</v>
      </c>
      <c r="C90" s="748">
        <f>SUM(C87:C89)</f>
        <v>0</v>
      </c>
      <c r="D90" s="748">
        <f t="shared" ref="D90:H90" si="12">SUM(D87:D89)</f>
        <v>0</v>
      </c>
      <c r="E90" s="748">
        <f t="shared" si="12"/>
        <v>0</v>
      </c>
      <c r="F90" s="748">
        <f t="shared" si="12"/>
        <v>0</v>
      </c>
      <c r="G90" s="748">
        <f t="shared" si="12"/>
        <v>0</v>
      </c>
      <c r="H90" s="748">
        <f t="shared" si="12"/>
        <v>0</v>
      </c>
      <c r="I90" s="748">
        <f>SUM(I87:I89)</f>
        <v>0</v>
      </c>
      <c r="J90" s="748">
        <f>SUM(J87:J89)</f>
        <v>31731.932773109245</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25394.132829999999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7467.1779999999999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18880.5</v>
      </c>
      <c r="C8" s="560">
        <f>B101</f>
        <v>0</v>
      </c>
      <c r="D8" s="1028"/>
      <c r="E8" s="1028">
        <f>E101</f>
        <v>0</v>
      </c>
      <c r="F8" s="1029"/>
      <c r="G8" s="561"/>
      <c r="H8" s="1028">
        <f>I101</f>
        <v>0</v>
      </c>
      <c r="I8" s="1028">
        <f>G101+F101</f>
        <v>0</v>
      </c>
      <c r="J8" s="1028">
        <f>H101+D101+C101</f>
        <v>22212.352941176472</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51741.810830000002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22212.352941176472</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26972.142857142855</v>
      </c>
      <c r="C17" s="585">
        <f>B102</f>
        <v>0</v>
      </c>
      <c r="D17" s="586"/>
      <c r="E17" s="586">
        <f>E102</f>
        <v>0</v>
      </c>
      <c r="F17" s="1034"/>
      <c r="G17" s="587"/>
      <c r="H17" s="585">
        <f>I102</f>
        <v>0</v>
      </c>
      <c r="I17" s="586">
        <f>G102+F102</f>
        <v>0</v>
      </c>
      <c r="J17" s="586">
        <f>H102+D102+C102</f>
        <v>31731.932773109245</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26972.142857142855</v>
      </c>
      <c r="C20" s="572">
        <f>SUM(C17:C19)</f>
        <v>0</v>
      </c>
      <c r="D20" s="572">
        <f t="shared" ref="D20:L20" si="1">SUM(D17:D19)</f>
        <v>0</v>
      </c>
      <c r="E20" s="572">
        <f t="shared" si="1"/>
        <v>0</v>
      </c>
      <c r="F20" s="572">
        <f t="shared" si="1"/>
        <v>0</v>
      </c>
      <c r="G20" s="572">
        <f t="shared" si="1"/>
        <v>0</v>
      </c>
      <c r="H20" s="572">
        <f t="shared" si="1"/>
        <v>0</v>
      </c>
      <c r="I20" s="572">
        <f t="shared" si="1"/>
        <v>0</v>
      </c>
      <c r="J20" s="572">
        <f t="shared" si="1"/>
        <v>31731.932773109245</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13001</v>
      </c>
      <c r="C28" s="791">
        <v>2370</v>
      </c>
      <c r="D28" s="644" t="s">
        <v>913</v>
      </c>
      <c r="E28" s="643" t="s">
        <v>914</v>
      </c>
      <c r="F28" s="643" t="s">
        <v>915</v>
      </c>
      <c r="G28" s="643" t="s">
        <v>916</v>
      </c>
      <c r="H28" s="643" t="s">
        <v>917</v>
      </c>
      <c r="I28" s="643" t="s">
        <v>914</v>
      </c>
      <c r="J28" s="790">
        <v>40813</v>
      </c>
      <c r="K28" s="790">
        <v>40150</v>
      </c>
      <c r="L28" s="643" t="s">
        <v>918</v>
      </c>
      <c r="M28" s="643">
        <v>2214</v>
      </c>
      <c r="N28" s="643">
        <v>9963</v>
      </c>
      <c r="O28" s="643">
        <v>14232.857142857143</v>
      </c>
      <c r="P28" s="643">
        <v>0</v>
      </c>
      <c r="Q28" s="643">
        <v>28465.714285714286</v>
      </c>
      <c r="R28" s="643">
        <v>0</v>
      </c>
      <c r="S28" s="643">
        <v>0</v>
      </c>
      <c r="T28" s="643">
        <v>0</v>
      </c>
      <c r="U28" s="643">
        <v>0</v>
      </c>
      <c r="V28" s="643">
        <v>0</v>
      </c>
      <c r="W28" s="643">
        <v>0</v>
      </c>
      <c r="X28" s="643">
        <v>10</v>
      </c>
      <c r="Y28" s="643" t="s">
        <v>112</v>
      </c>
      <c r="Z28" s="645" t="s">
        <v>112</v>
      </c>
    </row>
    <row r="29" spans="1:26" s="597" customFormat="1" ht="25.5">
      <c r="A29" s="596"/>
      <c r="B29" s="791">
        <v>13001</v>
      </c>
      <c r="C29" s="791">
        <v>2370</v>
      </c>
      <c r="D29" s="644" t="s">
        <v>919</v>
      </c>
      <c r="E29" s="643" t="s">
        <v>920</v>
      </c>
      <c r="F29" s="643" t="s">
        <v>921</v>
      </c>
      <c r="G29" s="643" t="s">
        <v>916</v>
      </c>
      <c r="H29" s="643" t="s">
        <v>917</v>
      </c>
      <c r="I29" s="643" t="s">
        <v>920</v>
      </c>
      <c r="J29" s="790">
        <v>41313</v>
      </c>
      <c r="K29" s="790">
        <v>41313</v>
      </c>
      <c r="L29" s="643" t="s">
        <v>918</v>
      </c>
      <c r="M29" s="643">
        <v>2378</v>
      </c>
      <c r="N29" s="643">
        <v>8917.5</v>
      </c>
      <c r="O29" s="643">
        <v>12739.285714285714</v>
      </c>
      <c r="P29" s="643">
        <v>0</v>
      </c>
      <c r="Q29" s="643">
        <v>25478.571428571431</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4592</v>
      </c>
      <c r="N58" s="601">
        <f>SUM(N28:N57)</f>
        <v>18880.5</v>
      </c>
      <c r="O58" s="601">
        <f t="shared" ref="O58:W58" si="2">SUM(O28:O57)</f>
        <v>26972.142857142855</v>
      </c>
      <c r="P58" s="601">
        <f t="shared" si="2"/>
        <v>0</v>
      </c>
      <c r="Q58" s="601">
        <f t="shared" si="2"/>
        <v>53944.285714285717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4592</v>
      </c>
      <c r="N61" s="606">
        <f t="shared" si="4"/>
        <v>18880.5</v>
      </c>
      <c r="O61" s="606">
        <f t="shared" si="4"/>
        <v>26972.142857142855</v>
      </c>
      <c r="P61" s="606">
        <f t="shared" si="4"/>
        <v>0</v>
      </c>
      <c r="Q61" s="606">
        <f t="shared" si="4"/>
        <v>53944.285714285717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22212.352941176472</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31731.932773109245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21936.778599331712</v>
      </c>
      <c r="C4" s="462">
        <f>huishoudens!C8</f>
        <v>0</v>
      </c>
      <c r="D4" s="462">
        <f>huishoudens!D8</f>
        <v>66104.271473030371</v>
      </c>
      <c r="E4" s="462">
        <f>huishoudens!E8</f>
        <v>4572.39686788372</v>
      </c>
      <c r="F4" s="462">
        <f>huishoudens!F8</f>
        <v>11753.341504328419</v>
      </c>
      <c r="G4" s="462">
        <f>huishoudens!G8</f>
        <v>0</v>
      </c>
      <c r="H4" s="462">
        <f>huishoudens!H8</f>
        <v>0</v>
      </c>
      <c r="I4" s="462">
        <f>huishoudens!I8</f>
        <v>0</v>
      </c>
      <c r="J4" s="462">
        <f>huishoudens!J8</f>
        <v>0</v>
      </c>
      <c r="K4" s="462">
        <f>huishoudens!K8</f>
        <v>0</v>
      </c>
      <c r="L4" s="462">
        <f>huishoudens!L8</f>
        <v>0</v>
      </c>
      <c r="M4" s="462">
        <f>huishoudens!M8</f>
        <v>0</v>
      </c>
      <c r="N4" s="462">
        <f>huishoudens!N8</f>
        <v>29228.597981379233</v>
      </c>
      <c r="O4" s="462">
        <f>huishoudens!O8</f>
        <v>229.81</v>
      </c>
      <c r="P4" s="463">
        <f>huishoudens!P8</f>
        <v>610.13333333333333</v>
      </c>
      <c r="Q4" s="464">
        <f>SUM(B4:P4)</f>
        <v>134435.32975928677</v>
      </c>
    </row>
    <row r="5" spans="1:17">
      <c r="A5" s="461" t="s">
        <v>156</v>
      </c>
      <c r="B5" s="462">
        <f ca="1">tertiair!B16</f>
        <v>43228.761045247331</v>
      </c>
      <c r="C5" s="462">
        <f ca="1">tertiair!C16</f>
        <v>0</v>
      </c>
      <c r="D5" s="462">
        <f ca="1">tertiair!D16</f>
        <v>15058.828074899473</v>
      </c>
      <c r="E5" s="462">
        <f>tertiair!E16</f>
        <v>547.07423830713583</v>
      </c>
      <c r="F5" s="462">
        <f ca="1">tertiair!F16</f>
        <v>8679.7902590587437</v>
      </c>
      <c r="G5" s="462">
        <f>tertiair!G16</f>
        <v>0</v>
      </c>
      <c r="H5" s="462">
        <f>tertiair!H16</f>
        <v>0</v>
      </c>
      <c r="I5" s="462">
        <f>tertiair!I16</f>
        <v>0</v>
      </c>
      <c r="J5" s="462">
        <f>tertiair!J16</f>
        <v>0</v>
      </c>
      <c r="K5" s="462">
        <f>tertiair!K16</f>
        <v>0</v>
      </c>
      <c r="L5" s="462">
        <f ca="1">tertiair!L16</f>
        <v>0</v>
      </c>
      <c r="M5" s="462">
        <f>tertiair!M16</f>
        <v>0</v>
      </c>
      <c r="N5" s="462">
        <f ca="1">tertiair!N16</f>
        <v>4155.0677277076666</v>
      </c>
      <c r="O5" s="462">
        <f>tertiair!O16</f>
        <v>6.2533333333333339</v>
      </c>
      <c r="P5" s="463">
        <f>tertiair!P16</f>
        <v>57.2</v>
      </c>
      <c r="Q5" s="461">
        <f t="shared" ref="Q5:Q14" ca="1" si="0">SUM(B5:P5)</f>
        <v>71732.97467855367</v>
      </c>
    </row>
    <row r="6" spans="1:17">
      <c r="A6" s="461" t="s">
        <v>194</v>
      </c>
      <c r="B6" s="462">
        <f>'openbare verlichting'!B8</f>
        <v>805.79399999999998</v>
      </c>
      <c r="C6" s="462"/>
      <c r="D6" s="462"/>
      <c r="E6" s="462"/>
      <c r="F6" s="462"/>
      <c r="G6" s="462"/>
      <c r="H6" s="462"/>
      <c r="I6" s="462"/>
      <c r="J6" s="462"/>
      <c r="K6" s="462"/>
      <c r="L6" s="462"/>
      <c r="M6" s="462"/>
      <c r="N6" s="462"/>
      <c r="O6" s="462"/>
      <c r="P6" s="463"/>
      <c r="Q6" s="461">
        <f t="shared" si="0"/>
        <v>805.79399999999998</v>
      </c>
    </row>
    <row r="7" spans="1:17">
      <c r="A7" s="461" t="s">
        <v>112</v>
      </c>
      <c r="B7" s="462">
        <f>landbouw!B8</f>
        <v>5065.7607416036126</v>
      </c>
      <c r="C7" s="462">
        <f>landbouw!C8</f>
        <v>26972.142857142855</v>
      </c>
      <c r="D7" s="462">
        <f>landbouw!D8</f>
        <v>2068.6131228628756</v>
      </c>
      <c r="E7" s="462">
        <f>landbouw!E8</f>
        <v>63.835111370916231</v>
      </c>
      <c r="F7" s="462">
        <f>landbouw!F8</f>
        <v>17478.14360742702</v>
      </c>
      <c r="G7" s="462">
        <f>landbouw!G8</f>
        <v>0</v>
      </c>
      <c r="H7" s="462">
        <f>landbouw!H8</f>
        <v>0</v>
      </c>
      <c r="I7" s="462">
        <f>landbouw!I8</f>
        <v>0</v>
      </c>
      <c r="J7" s="462">
        <f>landbouw!J8</f>
        <v>761.83283000145559</v>
      </c>
      <c r="K7" s="462">
        <f>landbouw!K8</f>
        <v>0</v>
      </c>
      <c r="L7" s="462">
        <f>landbouw!L8</f>
        <v>0</v>
      </c>
      <c r="M7" s="462">
        <f>landbouw!M8</f>
        <v>0</v>
      </c>
      <c r="N7" s="462">
        <f>landbouw!N8</f>
        <v>0</v>
      </c>
      <c r="O7" s="462">
        <f>landbouw!O8</f>
        <v>0</v>
      </c>
      <c r="P7" s="463">
        <f>landbouw!P8</f>
        <v>0</v>
      </c>
      <c r="Q7" s="461">
        <f t="shared" si="0"/>
        <v>52410.328270408732</v>
      </c>
    </row>
    <row r="8" spans="1:17">
      <c r="A8" s="461" t="s">
        <v>657</v>
      </c>
      <c r="B8" s="462">
        <f>industrie!B18</f>
        <v>18721.107794482152</v>
      </c>
      <c r="C8" s="462">
        <f>industrie!C18</f>
        <v>0</v>
      </c>
      <c r="D8" s="462">
        <f>industrie!D18</f>
        <v>8639.373748227943</v>
      </c>
      <c r="E8" s="462">
        <f>industrie!E18</f>
        <v>2234.6042670395095</v>
      </c>
      <c r="F8" s="462">
        <f>industrie!F18</f>
        <v>7500.7589666225822</v>
      </c>
      <c r="G8" s="462">
        <f>industrie!G18</f>
        <v>0</v>
      </c>
      <c r="H8" s="462">
        <f>industrie!H18</f>
        <v>0</v>
      </c>
      <c r="I8" s="462">
        <f>industrie!I18</f>
        <v>0</v>
      </c>
      <c r="J8" s="462">
        <f>industrie!J18</f>
        <v>13.45128980074152</v>
      </c>
      <c r="K8" s="462">
        <f>industrie!K18</f>
        <v>0</v>
      </c>
      <c r="L8" s="462">
        <f>industrie!L18</f>
        <v>0</v>
      </c>
      <c r="M8" s="462">
        <f>industrie!M18</f>
        <v>0</v>
      </c>
      <c r="N8" s="462">
        <f>industrie!N18</f>
        <v>6218.9112045436223</v>
      </c>
      <c r="O8" s="462">
        <f>industrie!O18</f>
        <v>0</v>
      </c>
      <c r="P8" s="463">
        <f>industrie!P18</f>
        <v>0</v>
      </c>
      <c r="Q8" s="461">
        <f t="shared" si="0"/>
        <v>43328.20727071655</v>
      </c>
    </row>
    <row r="9" spans="1:17" s="467" customFormat="1">
      <c r="A9" s="465" t="s">
        <v>574</v>
      </c>
      <c r="B9" s="466">
        <f>transport!B14</f>
        <v>4.057973824807438</v>
      </c>
      <c r="C9" s="466">
        <f>transport!C14</f>
        <v>0</v>
      </c>
      <c r="D9" s="466">
        <f>transport!D14</f>
        <v>6.5533594582908652</v>
      </c>
      <c r="E9" s="466">
        <f>transport!E14</f>
        <v>221.34483792296209</v>
      </c>
      <c r="F9" s="466">
        <f>transport!F14</f>
        <v>0</v>
      </c>
      <c r="G9" s="466">
        <f>transport!G14</f>
        <v>74582.026117450543</v>
      </c>
      <c r="H9" s="466">
        <f>transport!H14</f>
        <v>10000.845693939804</v>
      </c>
      <c r="I9" s="466">
        <f>transport!I14</f>
        <v>0</v>
      </c>
      <c r="J9" s="466">
        <f>transport!J14</f>
        <v>0</v>
      </c>
      <c r="K9" s="466">
        <f>transport!K14</f>
        <v>0</v>
      </c>
      <c r="L9" s="466">
        <f>transport!L14</f>
        <v>0</v>
      </c>
      <c r="M9" s="466">
        <f>transport!M14</f>
        <v>3821.8583792425879</v>
      </c>
      <c r="N9" s="466">
        <f>transport!N14</f>
        <v>0</v>
      </c>
      <c r="O9" s="466">
        <f>transport!O14</f>
        <v>0</v>
      </c>
      <c r="P9" s="466">
        <f>transport!P14</f>
        <v>0</v>
      </c>
      <c r="Q9" s="465">
        <f>SUM(B9:P9)</f>
        <v>88636.686361839005</v>
      </c>
    </row>
    <row r="10" spans="1:17">
      <c r="A10" s="461" t="s">
        <v>564</v>
      </c>
      <c r="B10" s="462">
        <f>transport!B54</f>
        <v>0</v>
      </c>
      <c r="C10" s="462">
        <f>transport!C54</f>
        <v>0</v>
      </c>
      <c r="D10" s="462">
        <f>transport!D54</f>
        <v>0</v>
      </c>
      <c r="E10" s="462">
        <f>transport!E54</f>
        <v>0</v>
      </c>
      <c r="F10" s="462">
        <f>transport!F54</f>
        <v>0</v>
      </c>
      <c r="G10" s="462">
        <f>transport!G54</f>
        <v>759.32266221743703</v>
      </c>
      <c r="H10" s="462">
        <f>transport!H54</f>
        <v>0</v>
      </c>
      <c r="I10" s="462">
        <f>transport!I54</f>
        <v>0</v>
      </c>
      <c r="J10" s="462">
        <f>transport!J54</f>
        <v>0</v>
      </c>
      <c r="K10" s="462">
        <f>transport!K54</f>
        <v>0</v>
      </c>
      <c r="L10" s="462">
        <f>transport!L54</f>
        <v>0</v>
      </c>
      <c r="M10" s="462">
        <f>transport!M54</f>
        <v>33.768936028545419</v>
      </c>
      <c r="N10" s="462">
        <f>transport!N54</f>
        <v>0</v>
      </c>
      <c r="O10" s="462">
        <f>transport!O54</f>
        <v>0</v>
      </c>
      <c r="P10" s="463">
        <f>transport!P54</f>
        <v>0</v>
      </c>
      <c r="Q10" s="461">
        <f t="shared" si="0"/>
        <v>793.09159824598248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780.17919175347197</v>
      </c>
      <c r="C14" s="469"/>
      <c r="D14" s="469">
        <f>'SEAP template'!E25</f>
        <v>2900.67557830533</v>
      </c>
      <c r="E14" s="469"/>
      <c r="F14" s="469"/>
      <c r="G14" s="469"/>
      <c r="H14" s="469"/>
      <c r="I14" s="469"/>
      <c r="J14" s="469"/>
      <c r="K14" s="469"/>
      <c r="L14" s="469"/>
      <c r="M14" s="469"/>
      <c r="N14" s="469"/>
      <c r="O14" s="469"/>
      <c r="P14" s="470"/>
      <c r="Q14" s="461">
        <f t="shared" si="0"/>
        <v>3680.8547700588019</v>
      </c>
    </row>
    <row r="15" spans="1:17" s="474" customFormat="1">
      <c r="A15" s="471" t="s">
        <v>568</v>
      </c>
      <c r="B15" s="472">
        <f ca="1">SUM(B4:B14)</f>
        <v>90542.439346243089</v>
      </c>
      <c r="C15" s="472">
        <f t="shared" ref="C15:Q15" ca="1" si="1">SUM(C4:C14)</f>
        <v>26972.142857142855</v>
      </c>
      <c r="D15" s="472">
        <f t="shared" ca="1" si="1"/>
        <v>94778.315356784282</v>
      </c>
      <c r="E15" s="472">
        <f t="shared" si="1"/>
        <v>7639.2553225242436</v>
      </c>
      <c r="F15" s="472">
        <f t="shared" ca="1" si="1"/>
        <v>45412.034337436766</v>
      </c>
      <c r="G15" s="472">
        <f t="shared" si="1"/>
        <v>75341.348779667984</v>
      </c>
      <c r="H15" s="472">
        <f t="shared" si="1"/>
        <v>10000.845693939804</v>
      </c>
      <c r="I15" s="472">
        <f t="shared" si="1"/>
        <v>0</v>
      </c>
      <c r="J15" s="472">
        <f t="shared" si="1"/>
        <v>775.2841198021971</v>
      </c>
      <c r="K15" s="472">
        <f t="shared" si="1"/>
        <v>0</v>
      </c>
      <c r="L15" s="472">
        <f t="shared" ca="1" si="1"/>
        <v>0</v>
      </c>
      <c r="M15" s="472">
        <f t="shared" si="1"/>
        <v>3855.6273152711333</v>
      </c>
      <c r="N15" s="472">
        <f t="shared" ca="1" si="1"/>
        <v>39602.576913630517</v>
      </c>
      <c r="O15" s="472">
        <f t="shared" si="1"/>
        <v>236.06333333333333</v>
      </c>
      <c r="P15" s="472">
        <f t="shared" si="1"/>
        <v>667.33333333333337</v>
      </c>
      <c r="Q15" s="472">
        <f t="shared" ca="1" si="1"/>
        <v>395823.26670910948</v>
      </c>
    </row>
    <row r="17" spans="1:17">
      <c r="A17" s="475" t="s">
        <v>569</v>
      </c>
      <c r="B17" s="781">
        <f ca="1">huishoudens!B10</f>
        <v>9.4706294241734768E-2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2077.5510087440994</v>
      </c>
      <c r="C22" s="462">
        <f t="shared" ref="C22:C32" ca="1" si="3">C4*$C$17</f>
        <v>0</v>
      </c>
      <c r="D22" s="462">
        <f t="shared" ref="D22:D32" si="4">D4*$D$17</f>
        <v>13353.062837552136</v>
      </c>
      <c r="E22" s="462">
        <f t="shared" ref="E22:E32" si="5">E4*$E$17</f>
        <v>1037.9340890096046</v>
      </c>
      <c r="F22" s="462">
        <f t="shared" ref="F22:F32" si="6">F4*$F$17</f>
        <v>3138.1421816556881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19606.690116961527</v>
      </c>
    </row>
    <row r="23" spans="1:17">
      <c r="A23" s="461" t="s">
        <v>156</v>
      </c>
      <c r="B23" s="462">
        <f t="shared" ca="1" si="2"/>
        <v>4094.0357632568357</v>
      </c>
      <c r="C23" s="462">
        <f t="shared" ca="1" si="3"/>
        <v>0</v>
      </c>
      <c r="D23" s="462">
        <f t="shared" ca="1" si="4"/>
        <v>3041.8832711296936</v>
      </c>
      <c r="E23" s="462">
        <f t="shared" si="5"/>
        <v>124.18585209571984</v>
      </c>
      <c r="F23" s="462">
        <f t="shared" ca="1" si="6"/>
        <v>2317.5039991686849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9577.6088856509341</v>
      </c>
    </row>
    <row r="24" spans="1:17">
      <c r="A24" s="461" t="s">
        <v>194</v>
      </c>
      <c r="B24" s="462">
        <f t="shared" ca="1" si="2"/>
        <v>76.313763662224417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76.313763662224417</v>
      </c>
    </row>
    <row r="25" spans="1:17">
      <c r="A25" s="461" t="s">
        <v>112</v>
      </c>
      <c r="B25" s="462">
        <f t="shared" ca="1" si="2"/>
        <v>479.75942735254029</v>
      </c>
      <c r="C25" s="462">
        <f t="shared" ca="1" si="3"/>
        <v>0</v>
      </c>
      <c r="D25" s="462">
        <f t="shared" si="4"/>
        <v>417.85985081830091</v>
      </c>
      <c r="E25" s="462">
        <f t="shared" si="5"/>
        <v>14.490570281197984</v>
      </c>
      <c r="F25" s="462">
        <f t="shared" si="6"/>
        <v>4666.6643431830144</v>
      </c>
      <c r="G25" s="462">
        <f t="shared" si="7"/>
        <v>0</v>
      </c>
      <c r="H25" s="462">
        <f t="shared" si="8"/>
        <v>0</v>
      </c>
      <c r="I25" s="462">
        <f t="shared" si="9"/>
        <v>0</v>
      </c>
      <c r="J25" s="462">
        <f t="shared" si="10"/>
        <v>269.68882182051527</v>
      </c>
      <c r="K25" s="462">
        <f t="shared" si="11"/>
        <v>0</v>
      </c>
      <c r="L25" s="462">
        <f t="shared" si="12"/>
        <v>0</v>
      </c>
      <c r="M25" s="462">
        <f t="shared" si="13"/>
        <v>0</v>
      </c>
      <c r="N25" s="462">
        <f t="shared" si="14"/>
        <v>0</v>
      </c>
      <c r="O25" s="462">
        <f t="shared" si="15"/>
        <v>0</v>
      </c>
      <c r="P25" s="463">
        <f t="shared" si="16"/>
        <v>0</v>
      </c>
      <c r="Q25" s="461">
        <f t="shared" ca="1" si="17"/>
        <v>5848.4630134555682</v>
      </c>
    </row>
    <row r="26" spans="1:17">
      <c r="A26" s="461" t="s">
        <v>657</v>
      </c>
      <c r="B26" s="462">
        <f t="shared" ca="1" si="2"/>
        <v>1773.0067433154609</v>
      </c>
      <c r="C26" s="462">
        <f t="shared" ca="1" si="3"/>
        <v>0</v>
      </c>
      <c r="D26" s="462">
        <f t="shared" si="4"/>
        <v>1745.1534971420447</v>
      </c>
      <c r="E26" s="462">
        <f t="shared" si="5"/>
        <v>507.25516861796865</v>
      </c>
      <c r="F26" s="462">
        <f t="shared" si="6"/>
        <v>2002.7026440882296</v>
      </c>
      <c r="G26" s="462">
        <f t="shared" si="7"/>
        <v>0</v>
      </c>
      <c r="H26" s="462">
        <f t="shared" si="8"/>
        <v>0</v>
      </c>
      <c r="I26" s="462">
        <f t="shared" si="9"/>
        <v>0</v>
      </c>
      <c r="J26" s="462">
        <f t="shared" si="10"/>
        <v>4.7617565894624976</v>
      </c>
      <c r="K26" s="462">
        <f t="shared" si="11"/>
        <v>0</v>
      </c>
      <c r="L26" s="462">
        <f t="shared" si="12"/>
        <v>0</v>
      </c>
      <c r="M26" s="462">
        <f t="shared" si="13"/>
        <v>0</v>
      </c>
      <c r="N26" s="462">
        <f t="shared" si="14"/>
        <v>0</v>
      </c>
      <c r="O26" s="462">
        <f t="shared" si="15"/>
        <v>0</v>
      </c>
      <c r="P26" s="463">
        <f t="shared" si="16"/>
        <v>0</v>
      </c>
      <c r="Q26" s="461">
        <f t="shared" ca="1" si="17"/>
        <v>6032.8798097531662</v>
      </c>
    </row>
    <row r="27" spans="1:17" s="467" customFormat="1">
      <c r="A27" s="465" t="s">
        <v>574</v>
      </c>
      <c r="B27" s="775">
        <f t="shared" ca="1" si="2"/>
        <v>0.38431566307747106</v>
      </c>
      <c r="C27" s="466">
        <f t="shared" ca="1" si="3"/>
        <v>0</v>
      </c>
      <c r="D27" s="466">
        <f t="shared" si="4"/>
        <v>1.3237786105747549</v>
      </c>
      <c r="E27" s="466">
        <f t="shared" si="5"/>
        <v>50.245278208512396</v>
      </c>
      <c r="F27" s="466">
        <f t="shared" si="6"/>
        <v>0</v>
      </c>
      <c r="G27" s="466">
        <f t="shared" si="7"/>
        <v>19913.400973359297</v>
      </c>
      <c r="H27" s="466">
        <f t="shared" si="8"/>
        <v>2490.210577791011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22455.564923632472</v>
      </c>
    </row>
    <row r="28" spans="1:17">
      <c r="A28" s="461" t="s">
        <v>564</v>
      </c>
      <c r="B28" s="462">
        <f t="shared" ca="1" si="2"/>
        <v>0</v>
      </c>
      <c r="C28" s="462">
        <f t="shared" ca="1" si="3"/>
        <v>0</v>
      </c>
      <c r="D28" s="462">
        <f t="shared" si="4"/>
        <v>0</v>
      </c>
      <c r="E28" s="462">
        <f t="shared" si="5"/>
        <v>0</v>
      </c>
      <c r="F28" s="462">
        <f t="shared" si="6"/>
        <v>0</v>
      </c>
      <c r="G28" s="462">
        <f t="shared" si="7"/>
        <v>202.7391508120557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202.7391508120557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73.887880095483126</v>
      </c>
      <c r="C32" s="462">
        <f t="shared" ca="1" si="3"/>
        <v>0</v>
      </c>
      <c r="D32" s="462">
        <f t="shared" si="4"/>
        <v>585.93646681767666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659.82434691315984</v>
      </c>
    </row>
    <row r="33" spans="1:17" s="474" customFormat="1">
      <c r="A33" s="471" t="s">
        <v>568</v>
      </c>
      <c r="B33" s="472">
        <f ca="1">SUM(B22:B32)</f>
        <v>8574.9389020897215</v>
      </c>
      <c r="C33" s="472">
        <f t="shared" ref="C33:Q33" ca="1" si="18">SUM(C22:C32)</f>
        <v>0</v>
      </c>
      <c r="D33" s="472">
        <f t="shared" ca="1" si="18"/>
        <v>19145.219702070426</v>
      </c>
      <c r="E33" s="472">
        <f t="shared" si="18"/>
        <v>1734.1109582130034</v>
      </c>
      <c r="F33" s="472">
        <f t="shared" ca="1" si="18"/>
        <v>12125.013168095616</v>
      </c>
      <c r="G33" s="472">
        <f t="shared" si="18"/>
        <v>20116.140124171354</v>
      </c>
      <c r="H33" s="472">
        <f t="shared" si="18"/>
        <v>2490.210577791011</v>
      </c>
      <c r="I33" s="472">
        <f t="shared" si="18"/>
        <v>0</v>
      </c>
      <c r="J33" s="472">
        <f t="shared" si="18"/>
        <v>274.45057840997777</v>
      </c>
      <c r="K33" s="472">
        <f t="shared" si="18"/>
        <v>0</v>
      </c>
      <c r="L33" s="472">
        <f t="shared" ca="1" si="18"/>
        <v>0</v>
      </c>
      <c r="M33" s="472">
        <f t="shared" si="18"/>
        <v>0</v>
      </c>
      <c r="N33" s="472">
        <f t="shared" ca="1" si="18"/>
        <v>0</v>
      </c>
      <c r="O33" s="472">
        <f t="shared" si="18"/>
        <v>0</v>
      </c>
      <c r="P33" s="472">
        <f t="shared" si="18"/>
        <v>0</v>
      </c>
      <c r="Q33" s="472">
        <f t="shared" ca="1" si="18"/>
        <v>64460.084010841107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25394.132829999999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7467.1779999999999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18880.5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22212.352941176472</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51741.810830000002</v>
      </c>
      <c r="C10" s="1051">
        <f>SUM(C4:C9)</f>
        <v>0</v>
      </c>
      <c r="D10" s="1051">
        <f t="shared" ref="D10:H10" si="0">SUM(D8:D9)</f>
        <v>0</v>
      </c>
      <c r="E10" s="1051">
        <f t="shared" si="0"/>
        <v>0</v>
      </c>
      <c r="F10" s="1051">
        <f t="shared" si="0"/>
        <v>0</v>
      </c>
      <c r="G10" s="1051">
        <f t="shared" si="0"/>
        <v>0</v>
      </c>
      <c r="H10" s="1051">
        <f t="shared" si="0"/>
        <v>0</v>
      </c>
      <c r="I10" s="1051">
        <f>SUM(I8:I9)</f>
        <v>0</v>
      </c>
      <c r="J10" s="1051">
        <f>SUM(J8:J9)</f>
        <v>22212.352941176472</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9.4706294241734768E-2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26972.142857142855</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31731.932773109245</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26972.142857142855</v>
      </c>
      <c r="C20" s="1051">
        <f>SUM(C17:C19)</f>
        <v>0</v>
      </c>
      <c r="D20" s="1051">
        <f t="shared" ref="D20:H20" si="2">SUM(D17:D19)</f>
        <v>0</v>
      </c>
      <c r="E20" s="1051">
        <f t="shared" si="2"/>
        <v>0</v>
      </c>
      <c r="F20" s="1051">
        <f t="shared" si="2"/>
        <v>0</v>
      </c>
      <c r="G20" s="1051">
        <f t="shared" si="2"/>
        <v>0</v>
      </c>
      <c r="H20" s="1051">
        <f t="shared" si="2"/>
        <v>0</v>
      </c>
      <c r="I20" s="1051">
        <f>SUM(I17:I19)</f>
        <v>0</v>
      </c>
      <c r="J20" s="1051">
        <f>SUM(J17:J19)</f>
        <v>31731.932773109245</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9.4706294241734768E-2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2019-08-12T08:01:06Z</dcterms:modified>
</cp:coreProperties>
</file>