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<sst xmlns="http://schemas.openxmlformats.org/spreadsheetml/2006/main" count="2441" uniqueCount="919">
  <si>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</si>
  <si>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</si>
  <si>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</si>
  <si>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</si>
  <si>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</si>
  <si>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</si>
  <si>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</si>
  <si>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</si>
  <si>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</si>
  <si>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</si>
  <si>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</si>
  <si>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</si>
  <si>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</si>
  <si>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</si>
  <si>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</si>
  <si>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</si>
  <si>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</si>
  <si>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</si>
  <si>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</si>
  <si>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</si>
  <si>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</si>
  <si>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</si>
  <si>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</si>
  <si>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</si>
  <si>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</si>
  <si>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</si>
  <si>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</si>
  <si>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</si>
  <si>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</si>
  <si>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</si>
  <si>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</si>
  <si>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</si>
  <si>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</si>
  <si>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</si>
  <si>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</si>
  <si>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</si>
  <si>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</si>
  <si>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</si>
  <si>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</si>
  <si>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</si>
  <si>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</si>
  <si>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</si>
  <si>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</si>
  <si>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</si>
  <si>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</si>
  <si>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</si>
  <si>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</si>
  <si>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</si>
  <si>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</si>
  <si>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</si>
  <si>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</si>
  <si>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</si>
  <si>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</si>
  <si>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</si>
  <si>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</si>
  <si>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</si>
  <si>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</si>
  <si>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</si>
  <si>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</si>
  <si>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</si>
  <si>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</si>
  <si>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</si>
  <si>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</si>
  <si>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</si>
  <si>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</si>
  <si>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</si>
  <si>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</si>
  <si>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</si>
  <si>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</si>
  <si>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</si>
  <si>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</si>
  <si>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</si>
  <si>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</si>
  <si>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</si>
  <si>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</si>
  <si>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</si>
  <si>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</si>
  <si>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</si>
  <si>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</si>
  <si>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</si>
  <si>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</si>
  <si>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</si>
  <si>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</si>
  <si>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</si>
  <si>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</si>
  <si>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</si>
  <si>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</si>
  <si>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</si>
  <si>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</si>
  <si>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</si>
  <si>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</si>
  <si>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</si>
  <si>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</si>
  <si>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</si>
  <si>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</si>
  <si>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</si>
  <si>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</si>
  <si>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</si>
  <si>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</si>
  <si>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</si>
  <si>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</si>
  <si>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</si>
  <si>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</si>
  <si>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</si>
  <si>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</si>
  <si>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</si>
  <si>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</si>
  <si>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</si>
  <si>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</si>
  <si>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</si>
  <si>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</si>
  <si>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</si>
  <si>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</si>
  <si>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</si>
  <si>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</si>
  <si>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</si>
  <si>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</si>
  <si>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</si>
  <si>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</si>
  <si>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</si>
  <si>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</si>
  <si>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</si>
  <si>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</si>
  <si>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</si>
  <si>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</si>
  <si>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</si>
  <si>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</si>
  <si>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</si>
  <si>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</si>
  <si>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</si>
  <si>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</si>
  <si>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</si>
  <si>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</si>
  <si>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</si>
  <si>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</si>
  <si>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</si>
  <si>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</si>
  <si>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</si>
  <si>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</si>
  <si>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</si>
  <si>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</si>
  <si>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</si>
  <si>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</si>
  <si>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</si>
  <si>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</si>
  <si>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</si>
  <si>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</si>
  <si>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</si>
  <si>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</si>
  <si>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</si>
  <si>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</si>
  <si>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</si>
  <si>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</si>
  <si>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</si>
  <si>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</si>
  <si>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</si>
  <si>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</si>
  <si>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</si>
  <si>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</si>
  <si>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</si>
  <si>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</si>
  <si>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</si>
  <si>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</si>
  <si>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</si>
  <si>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</si>
  <si>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</si>
  <si>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</si>
  <si>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</si>
  <si>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</si>
  <si>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</si>
  <si>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</si>
  <si>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</si>
  <si>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</si>
  <si>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</si>
  <si>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</si>
  <si>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</si>
  <si>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</si>
  <si>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</si>
  <si>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</si>
  <si>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</si>
  <si>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</si>
  <si>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</si>
  <si>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</si>
  <si>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</si>
  <si>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</si>
  <si>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</si>
  <si>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</si>
  <si>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</si>
  <si>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</si>
  <si>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</si>
  <si>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</si>
  <si>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</si>
  <si>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</si>
  <si>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</si>
  <si>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</si>
  <si>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</si>
  <si>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</si>
  <si>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</si>
  <si>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</si>
  <si>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</si>
  <si>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</si>
  <si>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</si>
  <si>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</si>
  <si>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</si>
  <si>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</si>
  <si>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</si>
  <si>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</si>
  <si>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</si>
  <si>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</si>
  <si>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</si>
  <si>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</si>
  <si>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</si>
  <si>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</si>
  <si>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</si>
  <si>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</si>
  <si>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</si>
  <si>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</si>
  <si>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</si>
  <si>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</si>
  <si>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</si>
  <si>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</si>
  <si>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</si>
  <si>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</si>
  <si>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</si>
  <si>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</si>
  <si>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</si>
  <si>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</si>
  <si>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</si>
  <si>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</si>
  <si>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</si>
  <si>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</si>
  <si>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</si>
  <si>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</si>
  <si>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</si>
  <si>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</si>
  <si>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</si>
  <si>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</si>
  <si>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</si>
  <si>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</si>
  <si>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</si>
  <si>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</si>
  <si>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</si>
  <si>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</si>
  <si>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</si>
  <si>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</si>
  <si>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</si>
  <si>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</si>
  <si>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</si>
  <si>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</si>
  <si>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</si>
  <si>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</si>
  <si>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</si>
  <si>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</si>
  <si>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</si>
  <si>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</si>
  <si>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</si>
  <si>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</si>
  <si>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</si>
  <si>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</si>
  <si>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</si>
  <si>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</si>
  <si>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</si>
  <si>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</si>
  <si>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</si>
  <si>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</si>
  <si>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</si>
  <si>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</si>
  <si>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</si>
  <si>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</si>
  <si>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</si>
  <si>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</si>
  <si>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</si>
  <si>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</si>
  <si>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</si>
  <si>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</si>
  <si>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</si>
  <si>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</si>
  <si>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</si>
  <si>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</si>
  <si>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</si>
  <si>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</si>
  <si>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</si>
  <si>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</si>
  <si>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</si>
  <si>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</si>
  <si>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</si>
  <si>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</si>
  <si>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</si>
  <si>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</si>
  <si>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</si>
  <si>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</si>
  <si>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</si>
  <si>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</si>
  <si>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</si>
  <si>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</si>
  <si>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</si>
  <si>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</si>
  <si>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</si>
  <si>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</si>
  <si>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</si>
  <si>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</si>
  <si>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</si>
  <si>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</si>
  <si>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</si>
  <si>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</si>
  <si>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</si>
  <si>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</si>
  <si>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</si>
  <si>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</si>
  <si>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</si>
  <si>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</si>
  <si>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</si>
  <si>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</si>
  <si>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</si>
  <si>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</si>
  <si>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</si>
  <si>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</si>
  <si>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</si>
  <si>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</si>
  <si>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</si>
  <si>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</si>
  <si>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</si>
  <si>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</si>
  <si>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</si>
  <si>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</si>
  <si>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</si>
  <si>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</si>
  <si>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</si>
  <si>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</si>
  <si>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</si>
  <si>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</si>
  <si>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</si>
  <si>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</si>
  <si>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</si>
  <si>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</si>
  <si>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</si>
  <si>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</si>
  <si>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</si>
  <si>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</si>
  <si>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</si>
  <si>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</si>
  <si>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</si>
  <si>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</si>
  <si>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</si>
  <si>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</si>
  <si>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</si>
  <si>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</si>
  <si>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</si>
  <si>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</si>
  <si>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</si>
  <si>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</si>
  <si>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</si>
  <si>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</si>
  <si>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</si>
  <si>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</si>
  <si>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</si>
  <si>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</si>
  <si>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</si>
  <si>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</si>
  <si>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</si>
  <si>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</si>
  <si>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</si>
  <si>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</si>
  <si>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</si>
  <si>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</si>
  <si>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</si>
  <si>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</si>
  <si>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</si>
  <si>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</si>
  <si>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</si>
  <si>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</si>
  <si>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</si>
  <si>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</si>
  <si>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</si>
  <si>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</si>
  <si>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</si>
  <si>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</si>
  <si>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</si>
  <si>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</si>
  <si>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</si>
  <si>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</si>
  <si>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</si>
  <si>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</si>
  <si>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</si>
  <si>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</si>
  <si>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</si>
  <si>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</si>
  <si>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</si>
  <si>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</si>
  <si>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</si>
  <si>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</si>
  <si>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</si>
  <si>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</si>
  <si>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</si>
  <si>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</si>
  <si>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</si>
  <si>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</si>
  <si>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</si>
  <si>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</si>
  <si>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</si>
  <si>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</si>
  <si>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</si>
  <si>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</si>
  <si>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</si>
  <si>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</si>
  <si>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</si>
  <si>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</si>
  <si>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</si>
  <si>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</si>
  <si>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</si>
  <si>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</si>
  <si>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</si>
  <si>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</si>
  <si>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</si>
  <si>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</si>
  <si>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</si>
  <si>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</si>
  <si>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</si>
  <si>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</si>
  <si>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</si>
  <si>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</si>
  <si>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</si>
  <si>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</si>
  <si>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</si>
  <si>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</si>
  <si>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</si>
  <si>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</si>
  <si>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</si>
  <si>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</si>
  <si>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</si>
  <si>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</si>
  <si>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</si>
  <si>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</si>
  <si>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</si>
  <si>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</si>
  <si>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</si>
  <si>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</si>
  <si>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</si>
  <si>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</si>
  <si>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</si>
  <si>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</si>
  <si>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</si>
  <si>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</si>
  <si>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</si>
  <si>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</si>
  <si>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</si>
  <si>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</si>
  <si>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</si>
  <si>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</si>
  <si>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</si>
  <si>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</si>
  <si>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</si>
  <si>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</si>
  <si>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</si>
  <si>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</si>
  <si>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</si>
  <si>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</si>
  <si>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</si>
  <si>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</si>
  <si>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</si>
  <si>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</si>
  <si>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</si>
  <si>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</si>
  <si>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</si>
  <si>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</si>
  <si>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</si>
  <si>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</si>
  <si>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</si>
  <si>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</si>
  <si>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</si>
  <si>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</si>
  <si>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</si>
  <si>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</si>
  <si>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</si>
  <si>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</si>
  <si>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</si>
  <si>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</si>
  <si>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</si>
  <si>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</si>
  <si>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</si>
  <si>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</si>
  <si>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</si>
  <si>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</si>
  <si>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</si>
  <si>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</si>
  <si>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</si>
  <si>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</si>
  <si>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</si>
  <si>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</si>
  <si>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</si>
  <si>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</si>
  <si>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</si>
  <si>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</si>
  <si>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</si>
  <si>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</si>
  <si>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</si>
  <si>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</si>
  <si>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</si>
  <si>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</si>
  <si>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</si>
  <si>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</si>
  <si>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</si>
  <si>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</si>
  <si>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</si>
  <si>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</si>
  <si>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</si>
  <si>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</si>
  <si>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</si>
  <si>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</si>
  <si>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</si>
  <si>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</si>
  <si>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</si>
  <si>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</si>
  <si>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</si>
  <si>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</si>
  <si>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</si>
  <si>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</si>
  <si>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</si>
  <si>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</si>
  <si>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</si>
  <si>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</si>
  <si>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</si>
  <si>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</si>
  <si>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</si>
  <si>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</si>
  <si>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</si>
  <si>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</si>
  <si>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</si>
  <si>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</si>
  <si>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</si>
  <si>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</si>
  <si>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</si>
  <si>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</si>
  <si>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</si>
  <si>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</si>
  <si>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</si>
  <si>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</si>
  <si>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</si>
  <si>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</si>
  <si>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</si>
  <si>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</si>
  <si>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</si>
  <si>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</si>
  <si>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</si>
  <si>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</si>
  <si>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</si>
  <si>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</si>
  <si>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</si>
  <si>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</si>
  <si>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</si>
  <si>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</si>
  <si>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</si>
  <si>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</si>
  <si>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</si>
  <si>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</si>
  <si>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</si>
  <si>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</si>
  <si>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</si>
  <si>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</si>
  <si>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</si>
  <si>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</si>
  <si>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</si>
  <si>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</si>
  <si>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</si>
  <si>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</si>
  <si>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</si>
  <si>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</si>
  <si>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</si>
  <si>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</si>
  <si>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</si>
  <si>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</si>
  <si>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</si>
  <si>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</si>
  <si>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</si>
  <si>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</si>
  <si>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</si>
  <si>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</si>
  <si>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</si>
  <si>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</si>
  <si>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</si>
  <si>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</si>
  <si>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</si>
  <si>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</si>
  <si>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</si>
  <si>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</si>
  <si>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</si>
  <si>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</si>
  <si>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</si>
  <si>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</si>
  <si>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</si>
  <si>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</si>
  <si>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</si>
  <si>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</si>
  <si>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</si>
  <si>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</si>
  <si>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</si>
  <si>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</si>
  <si>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</si>
  <si>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</si>
  <si>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</si>
  <si>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</si>
  <si>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</si>
  <si>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</si>
  <si>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</si>
  <si>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</si>
  <si>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</si>
  <si>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</si>
  <si>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</si>
  <si>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</si>
  <si>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</si>
  <si>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</si>
  <si>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</si>
  <si>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</si>
  <si>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</si>
  <si>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</si>
  <si>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</si>
  <si>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</si>
  <si>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</si>
  <si>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</si>
  <si>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</si>
  <si>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</si>
  <si>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</si>
  <si>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</si>
  <si>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</si>
  <si>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</si>
  <si>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</si>
  <si>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</si>
  <si>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</si>
  <si>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</si>
  <si>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</si>
  <si>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</si>
  <si>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</si>
  <si>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</si>
  <si>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</si>
  <si>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</si>
  <si>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</si>
  <si>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</si>
  <si>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</si>
  <si>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</si>
  <si>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</si>
  <si>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</si>
  <si>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</si>
  <si>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</si>
  <si>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</si>
  <si>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</si>
  <si>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</si>
  <si>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</si>
  <si>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</si>
  <si>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</si>
  <si>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</si>
  <si>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</si>
  <si>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</si>
  <si>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</si>
  <si>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</si>
  <si>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</si>
  <si>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</si>
  <si>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</si>
  <si>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</si>
  <si>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</si>
  <si>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</si>
  <si>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</si>
  <si>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</si>
  <si>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</si>
  <si>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</si>
  <si>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</si>
  <si>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</si>
  <si>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</si>
  <si>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</si>
  <si>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</si>
  <si>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</si>
  <si>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</si>
  <si>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</si>
  <si>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</si>
  <si>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</si>
  <si>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</si>
  <si>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</si>
  <si>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</si>
  <si>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</si>
  <si>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</si>
  <si>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</si>
  <si>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</si>
  <si>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</si>
  <si>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</si>
  <si>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</si>
  <si>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</si>
  <si>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</si>
  <si>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</si>
  <si>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</si>
  <si>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</si>
  <si>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</si>
  <si>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</si>
  <si>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</si>
  <si>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</si>
  <si>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</si>
  <si>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</si>
  <si>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</si>
  <si>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</si>
  <si>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</si>
  <si>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</si>
  <si>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</si>
  <si>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</si>
  <si>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</si>
  <si>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</si>
  <si>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</si>
  <si>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</si>
  <si>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</si>
  <si>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</si>
  <si>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</si>
  <si>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</si>
  <si>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</si>
  <si>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</si>
  <si>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</si>
  <si>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</si>
  <si>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</si>
  <si>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</si>
  <si>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</si>
  <si>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</si>
  <si>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</si>
  <si>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</si>
  <si>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</si>
  <si>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</si>
  <si>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</si>
  <si>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</si>
  <si>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</si>
  <si>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</si>
  <si>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</si>
  <si>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</si>
  <si>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</si>
  <si>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</si>
  <si>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</si>
  <si>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</si>
  <si>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</si>
  <si>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</si>
  <si>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</si>
  <si>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</si>
  <si>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</si>
  <si>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</si>
  <si>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</si>
  <si>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</si>
  <si>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</si>
  <si>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</si>
  <si>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</si>
  <si>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</si>
  <si>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</si>
  <si>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</si>
  <si>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</si>
  <si>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</si>
  <si>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</si>
  <si>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</si>
  <si>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</si>
  <si>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</si>
  <si>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</si>
  <si>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</si>
  <si>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</si>
  <si>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</si>
  <si>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</si>
  <si>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</si>
  <si>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</si>
  <si>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</si>
  <si>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</si>
  <si>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</si>
  <si>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</si>
  <si>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</si>
  <si>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</si>
  <si>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</si>
  <si>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</si>
  <si>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</si>
  <si>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</si>
  <si>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</si>
  <si>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</si>
  <si>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</si>
  <si>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</si>
  <si>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</si>
  <si>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</si>
  <si>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</si>
  <si>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</si>
  <si>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</si>
  <si>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</si>
  <si>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</si>
  <si>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</si>
  <si>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</si>
  <si>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</si>
  <si>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</si>
  <si>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</si>
  <si>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</si>
  <si>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</si>
  <si>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</si>
  <si>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</si>
  <si>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</si>
  <si>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</si>
  <si>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</si>
  <si>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</si>
  <si>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</si>
  <si>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</si>
  <si>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</si>
  <si>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</si>
  <si>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</si>
  <si>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</si>
  <si>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</si>
  <si>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</si>
  <si>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</si>
  <si>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</si>
  <si>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</si>
  <si>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</si>
  <si>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</si>
  <si>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</si>
  <si>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</si>
  <si>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</si>
  <si>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</si>
  <si>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</si>
  <si>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</si>
  <si>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</si>
  <si>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</si>
  <si>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</si>
  <si>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</si>
  <si>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</si>
  <si>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</si>
  <si>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</si>
  <si>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</si>
  <si>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</si>
  <si>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</si>
  <si>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</si>
  <si>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</si>
  <si>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</si>
  <si>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</si>
  <si>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</si>
  <si>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</si>
  <si>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</si>
  <si>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</si>
  <si>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</si>
  <si>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</si>
  <si>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</si>
  <si>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</si>
  <si>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</si>
  <si>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</si>
  <si>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</si>
  <si>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</si>
  <si>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</si>
  <si>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</si>
  <si>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</si>
  <si>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</si>
  <si>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</si>
  <si>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</si>
  <si>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</si>
  <si>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</si>
  <si>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</si>
  <si>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</si>
  <si>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</si>
  <si>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</si>
  <si>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</si>
  <si>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</si>
  <si>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</si>
  <si>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</si>
  <si>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</si>
  <si>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</si>
  <si>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</si>
  <si>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</si>
  <si>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</si>
  <si>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</si>
  <si>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</si>
  <si>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</si>
  <si>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</si>
  <si>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</si>
  <si>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</si>
  <si>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</si>
  <si>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</si>
  <si>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</si>
  <si>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</si>
  <si>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</si>
  <si>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</si>
  <si>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</si>
  <si>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</si>
  <si>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</si>
  <si>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</si>
  <si>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</si>
  <si>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</si>
  <si>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</si>
  <si>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</si>
  <si>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</si>
  <si>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</si>
  <si>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</si>
  <si>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</si>
  <si>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</si>
  <si>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</si>
  <si>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</si>
  <si>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</si>
  <si>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</si>
  <si>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</si>
  <si>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</si>
  <si>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</si>
  <si>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</si>
  <si>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</si>
  <si>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</si>
  <si>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</si>
  <si>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</si>
  <si>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</si>
  <si>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</si>
  <si>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</si>
  <si>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</si>
  <si>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</si>
  <si>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</si>
  <si>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</si>
  <si>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</si>
  <si>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</si>
  <si>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</si>
  <si>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</si>
  <si>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12034</t>
  </si>
  <si>
    <t>SINT-AMANDS</t>
  </si>
  <si>
    <t>Cultuurgrond (ha)</t>
  </si>
  <si>
    <t>Paarden&amp;pony's 200 - 600 kg</t>
  </si>
  <si>
    <t>Paarden&amp;pony's &lt; 200 kg</t>
  </si>
  <si>
    <t>op basis van VEA (maart 2018) en Inventaris Hernieuwbare Energiebronnen (juni 2018)</t>
  </si>
  <si>
    <t>VEA (juni 2018)</t>
  </si>
  <si>
    <t>BVBA LVR (Lanckpaep Geert)</t>
  </si>
  <si>
    <t>Pandgatheide 13, 2890 Sint-Amands</t>
  </si>
  <si>
    <t xml:space="preserve">WKK-0075 Geert Lanckpaep </t>
  </si>
  <si>
    <t>interne verbrandingsmotor</t>
  </si>
  <si>
    <t>WKK interne verbrandinsgmotor (gas)</t>
  </si>
  <si>
    <t>IVERLEK</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</si>
</sst>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69092.812397202855</c:v>
                </c:pt>
                <c:pt idx="1">
                  <c:v>16346.87510611681</c:v>
                </c:pt>
                <c:pt idx="2">
                  <c:v>553.827</c:v>
                </c:pt>
                <c:pt idx="3">
                  <c:v>12747.746857284375</c:v>
                </c:pt>
                <c:pt idx="4">
                  <c:v>4435.4603897843763</c:v>
                </c:pt>
                <c:pt idx="5">
                  <c:v>50290.170327059044</c:v>
                </c:pt>
                <c:pt idx="6">
                  <c:v>378.61645518567917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69092.812397202855</c:v>
                </c:pt>
                <c:pt idx="1">
                  <c:v>16346.87510611681</c:v>
                </c:pt>
                <c:pt idx="2">
                  <c:v>553.827</c:v>
                </c:pt>
                <c:pt idx="3">
                  <c:v>12747.746857284375</c:v>
                </c:pt>
                <c:pt idx="4">
                  <c:v>4435.4603897843763</c:v>
                </c:pt>
                <c:pt idx="5">
                  <c:v>50290.170327059044</c:v>
                </c:pt>
                <c:pt idx="6">
                  <c:v>378.61645518567917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12501.468830915481</c:v>
                </c:pt>
                <c:pt idx="2">
                  <c:v>3261.335594946951</c:v>
                </c:pt>
                <c:pt idx="3">
                  <c:v>113.56132416009719</c:v>
                </c:pt>
                <c:pt idx="4">
                  <c:v>3026.7723577683669</c:v>
                </c:pt>
                <c:pt idx="5">
                  <c:v>883.19354552989091</c:v>
                </c:pt>
                <c:pt idx="6">
                  <c:v>12686.971399540025</c:v>
                </c:pt>
                <c:pt idx="7">
                  <c:v>96.786271317941285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12501.468830915481</c:v>
                </c:pt>
                <c:pt idx="2">
                  <c:v>3261.335594946951</c:v>
                </c:pt>
                <c:pt idx="3">
                  <c:v>113.56132416009719</c:v>
                </c:pt>
                <c:pt idx="4">
                  <c:v>3026.7723577683669</c:v>
                </c:pt>
                <c:pt idx="5">
                  <c:v>883.19354552989091</c:v>
                </c:pt>
                <c:pt idx="6">
                  <c:v>12686.971399540025</c:v>
                </c:pt>
                <c:pt idx="7">
                  <c:v>96.786271317941285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12034</v>
      </c>
      <c r="B6" s="398"/>
      <c r="C6" s="399"/>
    </row>
    <row r="7" spans="1:7" s="396" customFormat="1" ht="15.75" customHeight="1">
      <c r="A7" s="400" t="str">
        <f>txtMunicipality</f>
        <v>SINT-AMANDS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0.20504837098967221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0.20504837098967221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12034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3162</v>
      </c>
      <c r="C9" s="338">
        <v>3436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786</v>
      </c>
    </row>
    <row r="15" spans="1:6">
      <c r="A15" s="1295" t="s">
        <v>184</v>
      </c>
      <c r="B15" s="335">
        <v>5</v>
      </c>
    </row>
    <row r="16" spans="1:6">
      <c r="A16" s="1295" t="s">
        <v>6</v>
      </c>
      <c r="B16" s="335">
        <v>273</v>
      </c>
    </row>
    <row r="17" spans="1:6">
      <c r="A17" s="1295" t="s">
        <v>7</v>
      </c>
      <c r="B17" s="335">
        <v>83</v>
      </c>
    </row>
    <row r="18" spans="1:6">
      <c r="A18" s="1295" t="s">
        <v>8</v>
      </c>
      <c r="B18" s="335">
        <v>218</v>
      </c>
    </row>
    <row r="19" spans="1:6">
      <c r="A19" s="1295" t="s">
        <v>9</v>
      </c>
      <c r="B19" s="335">
        <v>170</v>
      </c>
    </row>
    <row r="20" spans="1:6">
      <c r="A20" s="1295" t="s">
        <v>10</v>
      </c>
      <c r="B20" s="335">
        <v>136</v>
      </c>
    </row>
    <row r="21" spans="1:6">
      <c r="A21" s="1295" t="s">
        <v>11</v>
      </c>
      <c r="B21" s="335">
        <v>637</v>
      </c>
    </row>
    <row r="22" spans="1:6">
      <c r="A22" s="1295" t="s">
        <v>12</v>
      </c>
      <c r="B22" s="335">
        <v>2193</v>
      </c>
    </row>
    <row r="23" spans="1:6">
      <c r="A23" s="1295" t="s">
        <v>13</v>
      </c>
      <c r="B23" s="335">
        <v>28</v>
      </c>
    </row>
    <row r="24" spans="1:6">
      <c r="A24" s="1295" t="s">
        <v>14</v>
      </c>
      <c r="B24" s="335">
        <v>1</v>
      </c>
    </row>
    <row r="25" spans="1:6">
      <c r="A25" s="1295" t="s">
        <v>15</v>
      </c>
      <c r="B25" s="335">
        <v>187</v>
      </c>
    </row>
    <row r="26" spans="1:6">
      <c r="A26" s="1295" t="s">
        <v>16</v>
      </c>
      <c r="B26" s="335">
        <v>467</v>
      </c>
    </row>
    <row r="27" spans="1:6">
      <c r="A27" s="1295" t="s">
        <v>17</v>
      </c>
      <c r="B27" s="335">
        <v>0</v>
      </c>
    </row>
    <row r="28" spans="1:6" s="341" customFormat="1">
      <c r="A28" s="1296" t="s">
        <v>18</v>
      </c>
      <c r="B28" s="1296">
        <v>0</v>
      </c>
    </row>
    <row r="29" spans="1:6">
      <c r="A29" s="1296" t="s">
        <v>909</v>
      </c>
      <c r="B29" s="1296">
        <v>94</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4555.5607809920002</v>
      </c>
    </row>
    <row r="39" spans="1:6">
      <c r="A39" s="1295" t="s">
        <v>30</v>
      </c>
      <c r="B39" s="1295" t="s">
        <v>31</v>
      </c>
      <c r="C39" s="335">
        <v>2369</v>
      </c>
      <c r="D39" s="335">
        <v>45516887.929765001</v>
      </c>
      <c r="E39" s="335">
        <v>3135</v>
      </c>
      <c r="F39" s="335">
        <v>12057440.306774</v>
      </c>
    </row>
    <row r="40" spans="1:6">
      <c r="A40" s="1295" t="s">
        <v>30</v>
      </c>
      <c r="B40" s="1295" t="s">
        <v>29</v>
      </c>
      <c r="C40" s="335">
        <v>0</v>
      </c>
      <c r="D40" s="335">
        <v>0</v>
      </c>
      <c r="E40" s="335">
        <v>0</v>
      </c>
      <c r="F40" s="335">
        <v>0</v>
      </c>
    </row>
    <row r="41" spans="1:6">
      <c r="A41" s="1295" t="s">
        <v>32</v>
      </c>
      <c r="B41" s="1295" t="s">
        <v>33</v>
      </c>
      <c r="C41" s="335">
        <v>20</v>
      </c>
      <c r="D41" s="335">
        <v>547178.76448337897</v>
      </c>
      <c r="E41" s="335">
        <v>45</v>
      </c>
      <c r="F41" s="335">
        <v>435456.04933063302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69234.566964570098</v>
      </c>
      <c r="E44" s="335">
        <v>4</v>
      </c>
      <c r="F44" s="335">
        <v>8937.0682728226002</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10</v>
      </c>
      <c r="D48" s="335">
        <v>659268.90668714896</v>
      </c>
      <c r="E48" s="335">
        <v>14</v>
      </c>
      <c r="F48" s="335">
        <v>899388.91919599997</v>
      </c>
    </row>
    <row r="49" spans="1:6">
      <c r="A49" s="1295" t="s">
        <v>32</v>
      </c>
      <c r="B49" s="1295" t="s">
        <v>40</v>
      </c>
      <c r="C49" s="335">
        <v>0</v>
      </c>
      <c r="D49" s="335">
        <v>0</v>
      </c>
      <c r="E49" s="335">
        <v>0</v>
      </c>
      <c r="F49" s="335">
        <v>0</v>
      </c>
    </row>
    <row r="50" spans="1:6">
      <c r="A50" s="1295" t="s">
        <v>32</v>
      </c>
      <c r="B50" s="1295" t="s">
        <v>41</v>
      </c>
      <c r="C50" s="335">
        <v>5</v>
      </c>
      <c r="D50" s="335">
        <v>287120.93241483998</v>
      </c>
      <c r="E50" s="335">
        <v>5</v>
      </c>
      <c r="F50" s="335">
        <v>240272.93271796501</v>
      </c>
    </row>
    <row r="51" spans="1:6">
      <c r="A51" s="1295" t="s">
        <v>42</v>
      </c>
      <c r="B51" s="1295" t="s">
        <v>43</v>
      </c>
      <c r="C51" s="335">
        <v>0</v>
      </c>
      <c r="D51" s="335">
        <v>0</v>
      </c>
      <c r="E51" s="335">
        <v>28</v>
      </c>
      <c r="F51" s="335">
        <v>349159.27308241499</v>
      </c>
    </row>
    <row r="52" spans="1:6">
      <c r="A52" s="1295" t="s">
        <v>42</v>
      </c>
      <c r="B52" s="1295" t="s">
        <v>29</v>
      </c>
      <c r="C52" s="335">
        <v>3</v>
      </c>
      <c r="D52" s="335">
        <v>22996188.088721801</v>
      </c>
      <c r="E52" s="335">
        <v>4</v>
      </c>
      <c r="F52" s="335">
        <v>52674.677628366597</v>
      </c>
    </row>
    <row r="53" spans="1:6">
      <c r="A53" s="1295" t="s">
        <v>44</v>
      </c>
      <c r="B53" s="1295" t="s">
        <v>45</v>
      </c>
      <c r="C53" s="335">
        <v>60</v>
      </c>
      <c r="D53" s="335">
        <v>1500735.6156695201</v>
      </c>
      <c r="E53" s="335">
        <v>93</v>
      </c>
      <c r="F53" s="335">
        <v>406089.27398538799</v>
      </c>
    </row>
    <row r="54" spans="1:6">
      <c r="A54" s="1295" t="s">
        <v>46</v>
      </c>
      <c r="B54" s="1295" t="s">
        <v>47</v>
      </c>
      <c r="C54" s="335">
        <v>0</v>
      </c>
      <c r="D54" s="335">
        <v>0</v>
      </c>
      <c r="E54" s="335">
        <v>1</v>
      </c>
      <c r="F54" s="335">
        <v>553827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221479.32684711399</v>
      </c>
      <c r="E57" s="335">
        <v>25</v>
      </c>
      <c r="F57" s="335">
        <v>682067.112885696</v>
      </c>
    </row>
    <row r="58" spans="1:6">
      <c r="A58" s="1295" t="s">
        <v>49</v>
      </c>
      <c r="B58" s="1295" t="s">
        <v>51</v>
      </c>
      <c r="C58" s="335">
        <v>13</v>
      </c>
      <c r="D58" s="335">
        <v>471086.27420700702</v>
      </c>
      <c r="E58" s="335">
        <v>15</v>
      </c>
      <c r="F58" s="335">
        <v>115384.23360044201</v>
      </c>
    </row>
    <row r="59" spans="1:6">
      <c r="A59" s="1295" t="s">
        <v>49</v>
      </c>
      <c r="B59" s="1295" t="s">
        <v>52</v>
      </c>
      <c r="C59" s="335">
        <v>21</v>
      </c>
      <c r="D59" s="335">
        <v>970428.87453880999</v>
      </c>
      <c r="E59" s="335">
        <v>56</v>
      </c>
      <c r="F59" s="335">
        <v>735020.77781260503</v>
      </c>
    </row>
    <row r="60" spans="1:6">
      <c r="A60" s="1295" t="s">
        <v>49</v>
      </c>
      <c r="B60" s="1295" t="s">
        <v>53</v>
      </c>
      <c r="C60" s="335">
        <v>20</v>
      </c>
      <c r="D60" s="335">
        <v>1146556.1841763901</v>
      </c>
      <c r="E60" s="335">
        <v>28</v>
      </c>
      <c r="F60" s="335">
        <v>589537.32017996896</v>
      </c>
    </row>
    <row r="61" spans="1:6">
      <c r="A61" s="1295" t="s">
        <v>49</v>
      </c>
      <c r="B61" s="1295" t="s">
        <v>54</v>
      </c>
      <c r="C61" s="335">
        <v>66</v>
      </c>
      <c r="D61" s="335">
        <v>3230119.2324044099</v>
      </c>
      <c r="E61" s="335">
        <v>131</v>
      </c>
      <c r="F61" s="335">
        <v>894602.83839694597</v>
      </c>
    </row>
    <row r="62" spans="1:6">
      <c r="A62" s="1295" t="s">
        <v>49</v>
      </c>
      <c r="B62" s="1295" t="s">
        <v>55</v>
      </c>
      <c r="C62" s="335">
        <v>7</v>
      </c>
      <c r="D62" s="335">
        <v>653277.71352404496</v>
      </c>
      <c r="E62" s="335">
        <v>7</v>
      </c>
      <c r="F62" s="335">
        <v>92910.867354199407</v>
      </c>
    </row>
    <row r="63" spans="1:6">
      <c r="A63" s="1295" t="s">
        <v>49</v>
      </c>
      <c r="B63" s="1295" t="s">
        <v>29</v>
      </c>
      <c r="C63" s="335">
        <v>62</v>
      </c>
      <c r="D63" s="335">
        <v>3315062.4596815798</v>
      </c>
      <c r="E63" s="335">
        <v>85</v>
      </c>
      <c r="F63" s="335">
        <v>2319743.71505536</v>
      </c>
    </row>
    <row r="64" spans="1:6">
      <c r="A64" s="1295" t="s">
        <v>56</v>
      </c>
      <c r="B64" s="1295" t="s">
        <v>57</v>
      </c>
      <c r="C64" s="335">
        <v>0</v>
      </c>
      <c r="D64" s="335">
        <v>0</v>
      </c>
      <c r="E64" s="335">
        <v>0</v>
      </c>
      <c r="F64" s="335">
        <v>0</v>
      </c>
    </row>
    <row r="65" spans="1:6">
      <c r="A65" s="1295" t="s">
        <v>56</v>
      </c>
      <c r="B65" s="1295" t="s">
        <v>29</v>
      </c>
      <c r="C65" s="335">
        <v>1</v>
      </c>
      <c r="D65" s="335">
        <v>34801.560419601003</v>
      </c>
      <c r="E65" s="335">
        <v>2</v>
      </c>
      <c r="F65" s="335">
        <v>14591.542340866001</v>
      </c>
    </row>
    <row r="66" spans="1:6">
      <c r="A66" s="1295" t="s">
        <v>56</v>
      </c>
      <c r="B66" s="1295" t="s">
        <v>58</v>
      </c>
      <c r="C66" s="335">
        <v>0</v>
      </c>
      <c r="D66" s="335">
        <v>0</v>
      </c>
      <c r="E66" s="335">
        <v>3</v>
      </c>
      <c r="F66" s="335">
        <v>17842.600263408101</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47756849</v>
      </c>
      <c r="E73" s="335">
        <v>48976121.390130661</v>
      </c>
    </row>
    <row r="74" spans="1:6">
      <c r="A74" s="1295" t="s">
        <v>64</v>
      </c>
      <c r="B74" s="1295" t="s">
        <v>727</v>
      </c>
      <c r="C74" s="1295" t="s">
        <v>728</v>
      </c>
      <c r="D74" s="335">
        <v>3105158.0237480192</v>
      </c>
      <c r="E74" s="335">
        <v>3109784.6008319799</v>
      </c>
    </row>
    <row r="75" spans="1:6">
      <c r="A75" s="1295" t="s">
        <v>65</v>
      </c>
      <c r="B75" s="1295" t="s">
        <v>725</v>
      </c>
      <c r="C75" s="1295" t="s">
        <v>729</v>
      </c>
      <c r="D75" s="335">
        <v>14782125</v>
      </c>
      <c r="E75" s="335">
        <v>15248610.514075715</v>
      </c>
    </row>
    <row r="76" spans="1:6">
      <c r="A76" s="1295" t="s">
        <v>65</v>
      </c>
      <c r="B76" s="1295" t="s">
        <v>727</v>
      </c>
      <c r="C76" s="1295" t="s">
        <v>730</v>
      </c>
      <c r="D76" s="335">
        <v>120618.02374801935</v>
      </c>
      <c r="E76" s="335">
        <v>123766.72556442631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100025.95250396131</v>
      </c>
      <c r="C83" s="335">
        <v>98819.129070212235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1925.2729999999999</v>
      </c>
    </row>
    <row r="92" spans="1:6">
      <c r="A92" s="1291" t="s">
        <v>69</v>
      </c>
      <c r="B92" s="338">
        <v>208.041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1634</v>
      </c>
    </row>
    <row r="98" spans="1:6">
      <c r="A98" s="1295" t="s">
        <v>72</v>
      </c>
      <c r="B98" s="335">
        <v>4</v>
      </c>
    </row>
    <row r="99" spans="1:6">
      <c r="A99" s="1295" t="s">
        <v>73</v>
      </c>
      <c r="B99" s="335">
        <v>13</v>
      </c>
    </row>
    <row r="100" spans="1:6">
      <c r="A100" s="1295" t="s">
        <v>74</v>
      </c>
      <c r="B100" s="335">
        <v>192</v>
      </c>
    </row>
    <row r="101" spans="1:6">
      <c r="A101" s="1295" t="s">
        <v>75</v>
      </c>
      <c r="B101" s="335">
        <v>46</v>
      </c>
    </row>
    <row r="102" spans="1:6">
      <c r="A102" s="1295" t="s">
        <v>76</v>
      </c>
      <c r="B102" s="335">
        <v>24</v>
      </c>
    </row>
    <row r="103" spans="1:6">
      <c r="A103" s="1295" t="s">
        <v>77</v>
      </c>
      <c r="B103" s="335">
        <v>57</v>
      </c>
    </row>
    <row r="104" spans="1:6">
      <c r="A104" s="1295" t="s">
        <v>78</v>
      </c>
      <c r="B104" s="335">
        <v>838</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41</v>
      </c>
    </row>
    <row r="130" spans="1:6">
      <c r="A130" s="1295" t="s">
        <v>295</v>
      </c>
      <c r="B130" s="335">
        <v>0</v>
      </c>
    </row>
    <row r="131" spans="1:6">
      <c r="A131" s="1295" t="s">
        <v>296</v>
      </c>
      <c r="B131" s="335">
        <v>0</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22361.200241031594</v>
      </c>
      <c r="C3" s="43" t="s">
        <v>170</v>
      </c>
      <c r="D3" s="43"/>
      <c r="E3" s="156"/>
      <c r="F3" s="43"/>
      <c r="G3" s="43"/>
      <c r="H3" s="43"/>
      <c r="I3" s="43"/>
      <c r="J3" s="43"/>
      <c r="K3" s="96"/>
    </row>
    <row r="4" spans="1:11">
      <c r="A4" s="366" t="s">
        <v>171</v>
      </c>
      <c r="B4" s="49">
        <f>IF(ISERROR('SEAP template'!B78+'SEAP template'!C78),0,'SEAP template'!B78+'SEAP template'!C78)</f>
        <v>9027.3140000000003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1638.3388235294121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0.20504837098967221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2340.4840336134462</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9848.5714285714294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553.827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553.827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0.20504837098967221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113.56132416009719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12057.440306774</v>
      </c>
      <c r="C5" s="17">
        <f>IF(ISERROR('Eigen informatie GS &amp; warmtenet'!B57),0,'Eigen informatie GS &amp; warmtenet'!B57)</f>
        <v>0</v>
      </c>
      <c r="D5" s="30">
        <f>(SUM(HH_hh_gas_kWh,HH_rest_gas_kWh)/1000)*0.902</f>
        <v>41056.232912648033</v>
      </c>
      <c r="E5" s="17">
        <f>B46*B57</f>
        <v>657.79896899588107</v>
      </c>
      <c r="F5" s="17">
        <f>B51*B62</f>
        <v>4463.1341986100824</v>
      </c>
      <c r="G5" s="18"/>
      <c r="H5" s="17"/>
      <c r="I5" s="17"/>
      <c r="J5" s="17">
        <f>B50*B61+C50*C61</f>
        <v>0</v>
      </c>
      <c r="K5" s="17"/>
      <c r="L5" s="17"/>
      <c r="M5" s="17"/>
      <c r="N5" s="17">
        <f>B48*B59+C48*C59</f>
        <v>8725.9896768415292</v>
      </c>
      <c r="O5" s="17">
        <f>B69*B70*B71</f>
        <v>73.476666666666674</v>
      </c>
      <c r="P5" s="17">
        <f>B77*B78*B79/1000-B77*B78*B79/1000/B80</f>
        <v>133.46666666666667</v>
      </c>
    </row>
    <row r="6" spans="1:16">
      <c r="A6" s="16" t="s">
        <v>634</v>
      </c>
      <c r="B6" s="783">
        <f>kWh_PV_kleiner_dan_10kW</f>
        <v>1925.2729999999999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13982.713306774</v>
      </c>
      <c r="C8" s="21">
        <f>C5</f>
        <v>0</v>
      </c>
      <c r="D8" s="21">
        <f>D5</f>
        <v>41056.232912648033</v>
      </c>
      <c r="E8" s="21">
        <f>E5</f>
        <v>657.79896899588107</v>
      </c>
      <c r="F8" s="21">
        <f>F5</f>
        <v>4463.1341986100824</v>
      </c>
      <c r="G8" s="21"/>
      <c r="H8" s="21"/>
      <c r="I8" s="21"/>
      <c r="J8" s="21">
        <f>J5</f>
        <v>0</v>
      </c>
      <c r="K8" s="21"/>
      <c r="L8" s="21">
        <f>L5</f>
        <v>0</v>
      </c>
      <c r="M8" s="21">
        <f>M5</f>
        <v>0</v>
      </c>
      <c r="N8" s="21">
        <f>N5</f>
        <v>8725.9896768415292</v>
      </c>
      <c r="O8" s="21">
        <f>O5</f>
        <v>73.476666666666674</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0.20504837098967221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2867.1325855696214</v>
      </c>
      <c r="C12" s="23">
        <f ca="1">C10*C8</f>
        <v>0</v>
      </c>
      <c r="D12" s="23">
        <f>D8*D10</f>
        <v>8293.3590483549033</v>
      </c>
      <c r="E12" s="23">
        <f>E10*E8</f>
        <v>149.32036596206501</v>
      </c>
      <c r="F12" s="23">
        <f>F10*F8</f>
        <v>1191.6568310288922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1634</v>
      </c>
      <c r="C18" s="168" t="s">
        <v>111</v>
      </c>
      <c r="D18" s="230"/>
      <c r="E18" s="15"/>
    </row>
    <row r="19" spans="1:7">
      <c r="A19" s="173" t="s">
        <v>72</v>
      </c>
      <c r="B19" s="37">
        <f>aantalw2001_ander</f>
        <v>4</v>
      </c>
      <c r="C19" s="168" t="s">
        <v>111</v>
      </c>
      <c r="D19" s="231"/>
      <c r="E19" s="15"/>
    </row>
    <row r="20" spans="1:7">
      <c r="A20" s="173" t="s">
        <v>73</v>
      </c>
      <c r="B20" s="37">
        <f>aantalw2001_propaan</f>
        <v>13</v>
      </c>
      <c r="C20" s="169">
        <f>IF(ISERROR(B20/SUM($B$20,$B$21,$B$22)*100),0,B20/SUM($B$20,$B$21,$B$22)*100)</f>
        <v>5.1792828685258963</v>
      </c>
      <c r="D20" s="231"/>
      <c r="E20" s="15"/>
    </row>
    <row r="21" spans="1:7">
      <c r="A21" s="173" t="s">
        <v>74</v>
      </c>
      <c r="B21" s="37">
        <f>aantalw2001_elektriciteit</f>
        <v>192</v>
      </c>
      <c r="C21" s="169">
        <f>IF(ISERROR(B21/SUM($B$20,$B$21,$B$22)*100),0,B21/SUM($B$20,$B$21,$B$22)*100)</f>
        <v>76.494023904382473</v>
      </c>
      <c r="D21" s="231"/>
      <c r="E21" s="15"/>
    </row>
    <row r="22" spans="1:7">
      <c r="A22" s="173" t="s">
        <v>75</v>
      </c>
      <c r="B22" s="37">
        <f>aantalw2001_hout</f>
        <v>46</v>
      </c>
      <c r="C22" s="169">
        <f>IF(ISERROR(B22/SUM($B$20,$B$21,$B$22)*100),0,B22/SUM($B$20,$B$21,$B$22)*100)</f>
        <v>18.326693227091635</v>
      </c>
      <c r="D22" s="231"/>
      <c r="E22" s="15"/>
    </row>
    <row r="23" spans="1:7">
      <c r="A23" s="173" t="s">
        <v>76</v>
      </c>
      <c r="B23" s="37">
        <f>aantalw2001_niet_gespec</f>
        <v>24</v>
      </c>
      <c r="C23" s="168" t="s">
        <v>111</v>
      </c>
      <c r="D23" s="230"/>
      <c r="E23" s="15"/>
    </row>
    <row r="24" spans="1:7">
      <c r="A24" s="173" t="s">
        <v>77</v>
      </c>
      <c r="B24" s="37">
        <f>aantalw2001_steenkool</f>
        <v>57</v>
      </c>
      <c r="C24" s="168" t="s">
        <v>111</v>
      </c>
      <c r="D24" s="231"/>
      <c r="E24" s="15"/>
    </row>
    <row r="25" spans="1:7">
      <c r="A25" s="173" t="s">
        <v>78</v>
      </c>
      <c r="B25" s="37">
        <f>aantalw2001_stookolie</f>
        <v>838</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3162</v>
      </c>
      <c r="C28" s="36"/>
      <c r="D28" s="230"/>
    </row>
    <row r="29" spans="1:7" s="15" customFormat="1">
      <c r="A29" s="232" t="s">
        <v>746</v>
      </c>
      <c r="B29" s="37">
        <f>SUM(HH_hh_gas_aantal,HH_rest_gas_aantal)</f>
        <v>2369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2369</v>
      </c>
      <c r="C32" s="169">
        <f>IF(ISERROR(B32/SUM($B$32,$B$34,$B$35,$B$36,$B$38,$B$39)*100),0,B32/SUM($B$32,$B$34,$B$35,$B$36,$B$38,$B$39)*100)</f>
        <v>75.087163232963562</v>
      </c>
      <c r="D32" s="235"/>
      <c r="G32" s="15"/>
    </row>
    <row r="33" spans="1:7">
      <c r="A33" s="173" t="s">
        <v>72</v>
      </c>
      <c r="B33" s="34" t="s">
        <v>111</v>
      </c>
      <c r="C33" s="169"/>
      <c r="D33" s="235"/>
      <c r="G33" s="15"/>
    </row>
    <row r="34" spans="1:7">
      <c r="A34" s="173" t="s">
        <v>73</v>
      </c>
      <c r="B34" s="33">
        <f>IF((($B$28-$B$32-$B$39-$B$77-$B$38)*C20/100)&lt;0,0,($B$28-$B$32-$B$39-$B$77-$B$38)*C20/100)</f>
        <v>31.567729083665334</v>
      </c>
      <c r="C34" s="169">
        <f>IF(ISERROR(B34/SUM($B$32,$B$34,$B$35,$B$36,$B$38,$B$39)*100),0,B34/SUM($B$32,$B$34,$B$35,$B$36,$B$38,$B$39)*100)</f>
        <v>1.0005619360908189</v>
      </c>
      <c r="D34" s="235"/>
      <c r="G34" s="15"/>
    </row>
    <row r="35" spans="1:7">
      <c r="A35" s="173" t="s">
        <v>74</v>
      </c>
      <c r="B35" s="33">
        <f>IF((($B$28-$B$32-$B$39-$B$77-$B$38)*C21/100)&lt;0,0,($B$28-$B$32-$B$39-$B$77-$B$38)*C21/100)</f>
        <v>466.23107569721122</v>
      </c>
      <c r="C35" s="169">
        <f>IF(ISERROR(B35/SUM($B$32,$B$34,$B$35,$B$36,$B$38,$B$39)*100),0,B35/SUM($B$32,$B$34,$B$35,$B$36,$B$38,$B$39)*100)</f>
        <v>14.77753013303364</v>
      </c>
      <c r="D35" s="235"/>
      <c r="G35" s="15"/>
    </row>
    <row r="36" spans="1:7">
      <c r="A36" s="173" t="s">
        <v>75</v>
      </c>
      <c r="B36" s="33">
        <f>IF((($B$28-$B$32-$B$39-$B$77-$B$38)*C22/100)&lt;0,0,($B$28-$B$32-$B$39-$B$77-$B$38)*C22/100)</f>
        <v>111.70119521912351</v>
      </c>
      <c r="C36" s="169">
        <f>IF(ISERROR(B36/SUM($B$32,$B$34,$B$35,$B$36,$B$38,$B$39)*100),0,B36/SUM($B$32,$B$34,$B$35,$B$36,$B$38,$B$39)*100)</f>
        <v>3.5404499277059758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176.5</v>
      </c>
      <c r="C39" s="169">
        <f>IF(ISERROR(B39/SUM($B$32,$B$34,$B$35,$B$36,$B$38,$B$39)*100),0,B39/SUM($B$32,$B$34,$B$35,$B$36,$B$38,$B$39)*100)</f>
        <v>5.5942947702060231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2369</v>
      </c>
      <c r="C44" s="34" t="s">
        <v>111</v>
      </c>
      <c r="D44" s="176"/>
    </row>
    <row r="45" spans="1:7">
      <c r="A45" s="173" t="s">
        <v>72</v>
      </c>
      <c r="B45" s="33" t="str">
        <f t="shared" si="0"/>
        <v>-</v>
      </c>
      <c r="C45" s="34" t="s">
        <v>111</v>
      </c>
      <c r="D45" s="176"/>
    </row>
    <row r="46" spans="1:7">
      <c r="A46" s="173" t="s">
        <v>73</v>
      </c>
      <c r="B46" s="33">
        <f t="shared" si="0"/>
        <v>31.567729083665334</v>
      </c>
      <c r="C46" s="34" t="s">
        <v>111</v>
      </c>
      <c r="D46" s="176"/>
    </row>
    <row r="47" spans="1:7">
      <c r="A47" s="173" t="s">
        <v>74</v>
      </c>
      <c r="B47" s="33">
        <f t="shared" si="0"/>
        <v>466.23107569721122</v>
      </c>
      <c r="C47" s="34" t="s">
        <v>111</v>
      </c>
      <c r="D47" s="176"/>
    </row>
    <row r="48" spans="1:7">
      <c r="A48" s="173" t="s">
        <v>75</v>
      </c>
      <c r="B48" s="33">
        <f t="shared" si="0"/>
        <v>111.70119521912351</v>
      </c>
      <c r="C48" s="33">
        <f>B48*10</f>
        <v>1117.011952191235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176.5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5429.2668652852171</v>
      </c>
      <c r="C5" s="17">
        <f>IF(ISERROR('Eigen informatie GS &amp; warmtenet'!B58),0,'Eigen informatie GS &amp; warmtenet'!B58)</f>
        <v>0</v>
      </c>
      <c r="D5" s="30">
        <f>SUM(D6:D12)</f>
        <v>9027.2250789721802</v>
      </c>
      <c r="E5" s="17">
        <f>SUM(E6:E12)</f>
        <v>78.762167605539105</v>
      </c>
      <c r="F5" s="17">
        <f>SUM(F6:F12)</f>
        <v>1148.669627539984</v>
      </c>
      <c r="G5" s="18"/>
      <c r="H5" s="17"/>
      <c r="I5" s="17"/>
      <c r="J5" s="17">
        <f>SUM(J6:J12)</f>
        <v>0</v>
      </c>
      <c r="K5" s="17"/>
      <c r="L5" s="17"/>
      <c r="M5" s="17"/>
      <c r="N5" s="17">
        <f>SUM(N6:N12)</f>
        <v>662.95136671388957</v>
      </c>
      <c r="O5" s="17">
        <f>B38*B39*B40</f>
        <v>0</v>
      </c>
      <c r="P5" s="17">
        <f>B46*B47*B48/1000-B46*B47*B48/1000/B49</f>
        <v>0</v>
      </c>
      <c r="R5" s="32"/>
    </row>
    <row r="6" spans="1:18">
      <c r="A6" s="32" t="s">
        <v>54</v>
      </c>
      <c r="B6" s="37">
        <f>B26</f>
        <v>894.60283839694591</v>
      </c>
      <c r="C6" s="33"/>
      <c r="D6" s="37">
        <f>IF(ISERROR(TER_kantoor_gas_kWh/1000),0,TER_kantoor_gas_kWh/1000)*0.902</f>
        <v>2913.5675476287779</v>
      </c>
      <c r="E6" s="33">
        <f>$C$26*'E Balans VL '!I12/100/3.6*1000000</f>
        <v>3.475721425628294</v>
      </c>
      <c r="F6" s="33">
        <f>$C$26*('E Balans VL '!L12+'E Balans VL '!N12)/100/3.6*1000000</f>
        <v>136.06095148334202</v>
      </c>
      <c r="G6" s="34"/>
      <c r="H6" s="33"/>
      <c r="I6" s="33"/>
      <c r="J6" s="33">
        <f>$C$26*('E Balans VL '!D12+'E Balans VL '!E12)/100/3.6*1000000</f>
        <v>0</v>
      </c>
      <c r="K6" s="33"/>
      <c r="L6" s="33"/>
      <c r="M6" s="33"/>
      <c r="N6" s="33">
        <f>$C$26*'E Balans VL '!Y12/100/3.6*1000000</f>
        <v>0.49303333473746835</v>
      </c>
      <c r="O6" s="33"/>
      <c r="P6" s="33"/>
      <c r="R6" s="32"/>
    </row>
    <row r="7" spans="1:18">
      <c r="A7" s="32" t="s">
        <v>53</v>
      </c>
      <c r="B7" s="37">
        <f t="shared" ref="B7:B12" si="0">B27</f>
        <v>589.5373201799689</v>
      </c>
      <c r="C7" s="33"/>
      <c r="D7" s="37">
        <f>IF(ISERROR(TER_horeca_gas_kWh/1000),0,TER_horeca_gas_kWh/1000)*0.902</f>
        <v>1034.193678127104</v>
      </c>
      <c r="E7" s="33">
        <f>$C$27*'E Balans VL '!I9/100/3.6*1000000</f>
        <v>33.208794861902824</v>
      </c>
      <c r="F7" s="33">
        <f>$C$27*('E Balans VL '!L9+'E Balans VL '!N9)/100/3.6*1000000</f>
        <v>169.98726826105337</v>
      </c>
      <c r="G7" s="34"/>
      <c r="H7" s="33"/>
      <c r="I7" s="33"/>
      <c r="J7" s="33">
        <f>$C$27*('E Balans VL '!D9+'E Balans VL '!E9)/100/3.6*1000000</f>
        <v>0</v>
      </c>
      <c r="K7" s="33"/>
      <c r="L7" s="33"/>
      <c r="M7" s="33"/>
      <c r="N7" s="33">
        <f>$C$27*'E Balans VL '!Y9/100/3.6*1000000</f>
        <v>0.16276819057753614</v>
      </c>
      <c r="O7" s="33"/>
      <c r="P7" s="33"/>
      <c r="R7" s="32"/>
    </row>
    <row r="8" spans="1:18">
      <c r="A8" s="6" t="s">
        <v>52</v>
      </c>
      <c r="B8" s="37">
        <f t="shared" si="0"/>
        <v>735.02077781260505</v>
      </c>
      <c r="C8" s="33"/>
      <c r="D8" s="37">
        <f>IF(ISERROR(TER_handel_gas_kWh/1000),0,TER_handel_gas_kWh/1000)*0.902</f>
        <v>875.32684483400658</v>
      </c>
      <c r="E8" s="33">
        <f>$C$28*'E Balans VL '!I13/100/3.6*1000000</f>
        <v>10.594143085718509</v>
      </c>
      <c r="F8" s="33">
        <f>$C$28*('E Balans VL '!L13+'E Balans VL '!N13)/100/3.6*1000000</f>
        <v>127.69022658489692</v>
      </c>
      <c r="G8" s="34"/>
      <c r="H8" s="33"/>
      <c r="I8" s="33"/>
      <c r="J8" s="33">
        <f>$C$28*('E Balans VL '!D13+'E Balans VL '!E13)/100/3.6*1000000</f>
        <v>0</v>
      </c>
      <c r="K8" s="33"/>
      <c r="L8" s="33"/>
      <c r="M8" s="33"/>
      <c r="N8" s="33">
        <f>$C$28*'E Balans VL '!Y13/100/3.6*1000000</f>
        <v>2.2022040745251417</v>
      </c>
      <c r="O8" s="33"/>
      <c r="P8" s="33"/>
      <c r="R8" s="32"/>
    </row>
    <row r="9" spans="1:18">
      <c r="A9" s="32" t="s">
        <v>51</v>
      </c>
      <c r="B9" s="37">
        <f t="shared" si="0"/>
        <v>115.384233600442</v>
      </c>
      <c r="C9" s="33"/>
      <c r="D9" s="37">
        <f>IF(ISERROR(TER_gezond_gas_kWh/1000),0,TER_gezond_gas_kWh/1000)*0.902</f>
        <v>424.91981933472033</v>
      </c>
      <c r="E9" s="33">
        <f>$C$29*'E Balans VL '!I10/100/3.6*1000000</f>
        <v>0.12326026798034008</v>
      </c>
      <c r="F9" s="33">
        <f>$C$29*('E Balans VL '!L10+'E Balans VL '!N10)/100/3.6*1000000</f>
        <v>18.822675158679409</v>
      </c>
      <c r="G9" s="34"/>
      <c r="H9" s="33"/>
      <c r="I9" s="33"/>
      <c r="J9" s="33">
        <f>$C$29*('E Balans VL '!D10+'E Balans VL '!E10)/100/3.6*1000000</f>
        <v>0</v>
      </c>
      <c r="K9" s="33"/>
      <c r="L9" s="33"/>
      <c r="M9" s="33"/>
      <c r="N9" s="33">
        <f>$C$29*'E Balans VL '!Y10/100/3.6*1000000</f>
        <v>1.1878148479863251</v>
      </c>
      <c r="O9" s="33"/>
      <c r="P9" s="33"/>
      <c r="R9" s="32"/>
    </row>
    <row r="10" spans="1:18">
      <c r="A10" s="32" t="s">
        <v>50</v>
      </c>
      <c r="B10" s="37">
        <f t="shared" si="0"/>
        <v>682.06711288569602</v>
      </c>
      <c r="C10" s="33"/>
      <c r="D10" s="37">
        <f>IF(ISERROR(TER_ander_gas_kWh/1000),0,TER_ander_gas_kWh/1000)*0.902</f>
        <v>199.77435281609681</v>
      </c>
      <c r="E10" s="33">
        <f>$C$30*'E Balans VL '!I14/100/3.6*1000000</f>
        <v>3.136722902051698</v>
      </c>
      <c r="F10" s="33">
        <f>$C$30*('E Balans VL '!L14+'E Balans VL '!N14)/100/3.6*1000000</f>
        <v>204.43702806225491</v>
      </c>
      <c r="G10" s="34"/>
      <c r="H10" s="33"/>
      <c r="I10" s="33"/>
      <c r="J10" s="33">
        <f>$C$30*('E Balans VL '!D14+'E Balans VL '!E14)/100/3.6*1000000</f>
        <v>0</v>
      </c>
      <c r="K10" s="33"/>
      <c r="L10" s="33"/>
      <c r="M10" s="33"/>
      <c r="N10" s="33">
        <f>$C$30*'E Balans VL '!Y14/100/3.6*1000000</f>
        <v>474.76373434286114</v>
      </c>
      <c r="O10" s="33"/>
      <c r="P10" s="33"/>
      <c r="R10" s="32"/>
    </row>
    <row r="11" spans="1:18">
      <c r="A11" s="32" t="s">
        <v>55</v>
      </c>
      <c r="B11" s="37">
        <f t="shared" si="0"/>
        <v>92.910867354199411</v>
      </c>
      <c r="C11" s="33"/>
      <c r="D11" s="37">
        <f>IF(ISERROR(TER_onderwijs_gas_kWh/1000),0,TER_onderwijs_gas_kWh/1000)*0.902</f>
        <v>589.25649759868861</v>
      </c>
      <c r="E11" s="33">
        <f>$C$31*'E Balans VL '!I11/100/3.6*1000000</f>
        <v>8.6187048065669375E-2</v>
      </c>
      <c r="F11" s="33">
        <f>$C$31*('E Balans VL '!L11+'E Balans VL '!N11)/100/3.6*1000000</f>
        <v>32.637452298771478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2319.7437150553601</v>
      </c>
      <c r="C12" s="33"/>
      <c r="D12" s="37">
        <f>IF(ISERROR(TER_rest_gas_kWh/1000),0,TER_rest_gas_kWh/1000)*0.902</f>
        <v>2990.186338632785</v>
      </c>
      <c r="E12" s="33">
        <f>$C$32*'E Balans VL '!I8/100/3.6*1000000</f>
        <v>28.137338014191776</v>
      </c>
      <c r="F12" s="33">
        <f>$C$32*('E Balans VL '!L8+'E Balans VL '!N8)/100/3.6*1000000</f>
        <v>459.03402569098603</v>
      </c>
      <c r="G12" s="34"/>
      <c r="H12" s="33"/>
      <c r="I12" s="33"/>
      <c r="J12" s="33">
        <f>$C$32*('E Balans VL '!D8+'E Balans VL '!E8)/100/3.6*1000000</f>
        <v>0</v>
      </c>
      <c r="K12" s="33"/>
      <c r="L12" s="33"/>
      <c r="M12" s="33"/>
      <c r="N12" s="33">
        <f>$C$32*'E Balans VL '!Y8/100/3.6*1000000</f>
        <v>184.14181192320194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5429.2668652852171</v>
      </c>
      <c r="C16" s="21">
        <f t="shared" ca="1" si="1"/>
        <v>0</v>
      </c>
      <c r="D16" s="21">
        <f t="shared" ca="1" si="1"/>
        <v>9027.2250789721802</v>
      </c>
      <c r="E16" s="21">
        <f t="shared" si="1"/>
        <v>78.762167605539105</v>
      </c>
      <c r="F16" s="21">
        <f t="shared" ca="1" si="1"/>
        <v>1148.669627539984</v>
      </c>
      <c r="G16" s="21">
        <f t="shared" si="1"/>
        <v>0</v>
      </c>
      <c r="H16" s="21">
        <f t="shared" si="1"/>
        <v>0</v>
      </c>
      <c r="I16" s="21">
        <f t="shared" si="1"/>
        <v>0</v>
      </c>
      <c r="J16" s="21">
        <f t="shared" si="1"/>
        <v>0</v>
      </c>
      <c r="K16" s="21">
        <f t="shared" si="1"/>
        <v>0</v>
      </c>
      <c r="L16" s="21">
        <f t="shared" ca="1" si="1"/>
        <v>0</v>
      </c>
      <c r="M16" s="21">
        <f t="shared" si="1"/>
        <v>0</v>
      </c>
      <c r="N16" s="21">
        <f t="shared" ca="1" si="1"/>
        <v>662.95136671388957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0.20504837098967221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1113.2623263949379</v>
      </c>
      <c r="C20" s="23">
        <f t="shared" ref="C20:P20" ca="1" si="2">C16*C18</f>
        <v>0</v>
      </c>
      <c r="D20" s="23">
        <f t="shared" ca="1" si="2"/>
        <v>1823.4994659523804</v>
      </c>
      <c r="E20" s="23">
        <f t="shared" si="2"/>
        <v>17.879012046457376</v>
      </c>
      <c r="F20" s="23">
        <f t="shared" ca="1" si="2"/>
        <v>306.69479055317578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894.60283839694591</v>
      </c>
      <c r="C26" s="39">
        <f>IF(ISERROR(B26*3.6/1000000/'E Balans VL '!Z12*100),0,B26*3.6/1000000/'E Balans VL '!Z12*100)</f>
        <v>1.9001807416191334E-2</v>
      </c>
      <c r="D26" s="239" t="s">
        <v>692</v>
      </c>
      <c r="F26" s="6"/>
    </row>
    <row r="27" spans="1:18">
      <c r="A27" s="233" t="s">
        <v>53</v>
      </c>
      <c r="B27" s="33">
        <f>IF(ISERROR(TER_horeca_ele_kWh/1000),0,TER_horeca_ele_kWh/1000)</f>
        <v>589.5373201799689</v>
      </c>
      <c r="C27" s="39">
        <f>IF(ISERROR(B27*3.6/1000000/'E Balans VL '!Z9*100),0,B27*3.6/1000000/'E Balans VL '!Z9*100)</f>
        <v>4.5840116972430761E-2</v>
      </c>
      <c r="D27" s="239" t="s">
        <v>692</v>
      </c>
      <c r="F27" s="6"/>
    </row>
    <row r="28" spans="1:18">
      <c r="A28" s="173" t="s">
        <v>52</v>
      </c>
      <c r="B28" s="33">
        <f>IF(ISERROR(TER_handel_ele_kWh/1000),0,TER_handel_ele_kWh/1000)</f>
        <v>735.02077781260505</v>
      </c>
      <c r="C28" s="39">
        <f>IF(ISERROR(B28*3.6/1000000/'E Balans VL '!Z13*100),0,B28*3.6/1000000/'E Balans VL '!Z13*100)</f>
        <v>2.1029809486140479E-2</v>
      </c>
      <c r="D28" s="239" t="s">
        <v>692</v>
      </c>
      <c r="F28" s="6"/>
    </row>
    <row r="29" spans="1:18">
      <c r="A29" s="233" t="s">
        <v>51</v>
      </c>
      <c r="B29" s="33">
        <f>IF(ISERROR(TER_gezond_ele_kWh/1000),0,TER_gezond_ele_kWh/1000)</f>
        <v>115.384233600442</v>
      </c>
      <c r="C29" s="39">
        <f>IF(ISERROR(B29*3.6/1000000/'E Balans VL '!Z10*100),0,B29*3.6/1000000/'E Balans VL '!Z10*100)</f>
        <v>1.2579562670474879E-2</v>
      </c>
      <c r="D29" s="239" t="s">
        <v>692</v>
      </c>
      <c r="F29" s="6"/>
    </row>
    <row r="30" spans="1:18">
      <c r="A30" s="233" t="s">
        <v>50</v>
      </c>
      <c r="B30" s="33">
        <f>IF(ISERROR(TER_ander_ele_kWh/1000),0,TER_ander_ele_kWh/1000)</f>
        <v>682.06711288569602</v>
      </c>
      <c r="C30" s="39">
        <f>IF(ISERROR(B30*3.6/1000000/'E Balans VL '!Z14*100),0,B30*3.6/1000000/'E Balans VL '!Z14*100)</f>
        <v>4.9912124088407492E-2</v>
      </c>
      <c r="D30" s="239" t="s">
        <v>692</v>
      </c>
      <c r="F30" s="6"/>
    </row>
    <row r="31" spans="1:18">
      <c r="A31" s="233" t="s">
        <v>55</v>
      </c>
      <c r="B31" s="33">
        <f>IF(ISERROR(TER_onderwijs_ele_kWh/1000),0,TER_onderwijs_ele_kWh/1000)</f>
        <v>92.910867354199411</v>
      </c>
      <c r="C31" s="39">
        <f>IF(ISERROR(B31*3.6/1000000/'E Balans VL '!Z11*100),0,B31*3.6/1000000/'E Balans VL '!Z11*100)</f>
        <v>1.8661216701798551E-2</v>
      </c>
      <c r="D31" s="239" t="s">
        <v>692</v>
      </c>
    </row>
    <row r="32" spans="1:18">
      <c r="A32" s="233" t="s">
        <v>260</v>
      </c>
      <c r="B32" s="33">
        <f>IF(ISERROR(TER_rest_ele_kWh/1000),0,TER_rest_ele_kWh/1000)</f>
        <v>2319.7437150553601</v>
      </c>
      <c r="C32" s="39">
        <f>IF(ISERROR(B32*3.6/1000000/'E Balans VL '!Z8*100),0,B32*3.6/1000000/'E Balans VL '!Z8*100)</f>
        <v>1.8904503496768733E-2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1584.0549695174204</v>
      </c>
      <c r="C5" s="17">
        <f>IF(ISERROR('Eigen informatie GS &amp; warmtenet'!B59),0,'Eigen informatie GS &amp; warmtenet'!B59)</f>
        <v>0</v>
      </c>
      <c r="D5" s="30">
        <f>SUM(D6:D15)</f>
        <v>1409.6484598360439</v>
      </c>
      <c r="E5" s="17">
        <f>SUM(E6:E15)</f>
        <v>187.89642203798999</v>
      </c>
      <c r="F5" s="17">
        <f>SUM(F6:F15)</f>
        <v>862.04874606673297</v>
      </c>
      <c r="G5" s="18"/>
      <c r="H5" s="17"/>
      <c r="I5" s="17"/>
      <c r="J5" s="17">
        <f>SUM(J6:J15)</f>
        <v>2.3083688783240186</v>
      </c>
      <c r="K5" s="17"/>
      <c r="L5" s="17"/>
      <c r="M5" s="17"/>
      <c r="N5" s="17">
        <f>SUM(N6:N15)</f>
        <v>389.50342344786526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8.9370682728226001</v>
      </c>
      <c r="C8" s="33"/>
      <c r="D8" s="37">
        <f>IF( ISERROR(IND_metaal_Gas_kWH/1000),0,IND_metaal_Gas_kWH/1000)*0.902</f>
        <v>62.449579402042225</v>
      </c>
      <c r="E8" s="33">
        <f>C30*'E Balans VL '!I18/100/3.6*1000000</f>
        <v>0.25670614643443063</v>
      </c>
      <c r="F8" s="33">
        <f>C30*'E Balans VL '!L18/100/3.6*1000000+C30*'E Balans VL '!N18/100/3.6*1000000</f>
        <v>2.2921861274543649</v>
      </c>
      <c r="G8" s="34"/>
      <c r="H8" s="33"/>
      <c r="I8" s="33"/>
      <c r="J8" s="40">
        <f>C30*'E Balans VL '!D18/100/3.6*1000000+C30*'E Balans VL '!E18/100/3.6*1000000</f>
        <v>0</v>
      </c>
      <c r="K8" s="33"/>
      <c r="L8" s="33"/>
      <c r="M8" s="33"/>
      <c r="N8" s="33">
        <f>C30*'E Balans VL '!Y18/100/3.6*1000000</f>
        <v>0.2426596467481251</v>
      </c>
      <c r="O8" s="33"/>
      <c r="P8" s="33"/>
      <c r="R8" s="32"/>
    </row>
    <row r="9" spans="1:18">
      <c r="A9" s="6" t="s">
        <v>33</v>
      </c>
      <c r="B9" s="37">
        <f t="shared" si="0"/>
        <v>435.45604933063299</v>
      </c>
      <c r="C9" s="33"/>
      <c r="D9" s="37">
        <f>IF( ISERROR(IND_andere_gas_kWh/1000),0,IND_andere_gas_kWh/1000)*0.902</f>
        <v>493.55524556400781</v>
      </c>
      <c r="E9" s="33">
        <f>C31*'E Balans VL '!I19/100/3.6*1000000</f>
        <v>117.86724597830509</v>
      </c>
      <c r="F9" s="33">
        <f>C31*'E Balans VL '!L19/100/3.6*1000000+C31*'E Balans VL '!N19/100/3.6*1000000</f>
        <v>290.05980973006638</v>
      </c>
      <c r="G9" s="34"/>
      <c r="H9" s="33"/>
      <c r="I9" s="33"/>
      <c r="J9" s="40">
        <f>C31*'E Balans VL '!D19/100/3.6*1000000+C31*'E Balans VL '!E19/100/3.6*1000000</f>
        <v>0</v>
      </c>
      <c r="K9" s="33"/>
      <c r="L9" s="33"/>
      <c r="M9" s="33"/>
      <c r="N9" s="33">
        <f>C31*'E Balans VL '!Y19/100/3.6*1000000</f>
        <v>142.16916656220127</v>
      </c>
      <c r="O9" s="33"/>
      <c r="P9" s="33"/>
      <c r="R9" s="32"/>
    </row>
    <row r="10" spans="1:18">
      <c r="A10" s="6" t="s">
        <v>41</v>
      </c>
      <c r="B10" s="37">
        <f t="shared" si="0"/>
        <v>240.27293271796501</v>
      </c>
      <c r="C10" s="33"/>
      <c r="D10" s="37">
        <f>IF( ISERROR(IND_voed_gas_kWh/1000),0,IND_voed_gas_kWh/1000)*0.902</f>
        <v>258.98308103818567</v>
      </c>
      <c r="E10" s="33">
        <f>C32*'E Balans VL '!I20/100/3.6*1000000</f>
        <v>19.597212405176027</v>
      </c>
      <c r="F10" s="33">
        <f>C32*'E Balans VL '!L20/100/3.6*1000000+C32*'E Balans VL '!N20/100/3.6*1000000</f>
        <v>358.2687421530398</v>
      </c>
      <c r="G10" s="34"/>
      <c r="H10" s="33"/>
      <c r="I10" s="33"/>
      <c r="J10" s="40">
        <f>C32*'E Balans VL '!D20/100/3.6*1000000+C32*'E Balans VL '!E20/100/3.6*1000000</f>
        <v>3.1785192476436806E-3</v>
      </c>
      <c r="K10" s="33"/>
      <c r="L10" s="33"/>
      <c r="M10" s="33"/>
      <c r="N10" s="33">
        <f>C32*'E Balans VL '!Y20/100/3.6*1000000</f>
        <v>70.583709314941345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899.38891919599996</v>
      </c>
      <c r="C15" s="33"/>
      <c r="D15" s="37">
        <f>IF( ISERROR(IND_rest_gas_kWh/1000),0,IND_rest_gas_kWh/1000)*0.902</f>
        <v>594.66055383180833</v>
      </c>
      <c r="E15" s="33">
        <f>C37*'E Balans VL '!I15/100/3.6*1000000</f>
        <v>50.175257508074459</v>
      </c>
      <c r="F15" s="33">
        <f>C37*'E Balans VL '!L15/100/3.6*1000000+C37*'E Balans VL '!N15/100/3.6*1000000</f>
        <v>211.42800805617244</v>
      </c>
      <c r="G15" s="34"/>
      <c r="H15" s="33"/>
      <c r="I15" s="33"/>
      <c r="J15" s="40">
        <f>C37*'E Balans VL '!D15/100/3.6*1000000+C37*'E Balans VL '!E15/100/3.6*1000000</f>
        <v>2.3051903590763749</v>
      </c>
      <c r="K15" s="33"/>
      <c r="L15" s="33"/>
      <c r="M15" s="33"/>
      <c r="N15" s="33">
        <f>C37*'E Balans VL '!Y15/100/3.6*1000000</f>
        <v>176.50788792397452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1584.0549695174204</v>
      </c>
      <c r="C18" s="21">
        <f>C5+C16</f>
        <v>0</v>
      </c>
      <c r="D18" s="21">
        <f>MAX((D5+D16),0)</f>
        <v>1409.6484598360439</v>
      </c>
      <c r="E18" s="21">
        <f>MAX((E5+E16),0)</f>
        <v>187.89642203798999</v>
      </c>
      <c r="F18" s="21">
        <f>MAX((F5+F16),0)</f>
        <v>862.04874606673297</v>
      </c>
      <c r="G18" s="21"/>
      <c r="H18" s="21"/>
      <c r="I18" s="21"/>
      <c r="J18" s="21">
        <f>MAX((J5+J16),0)</f>
        <v>2.3083688783240186</v>
      </c>
      <c r="K18" s="21"/>
      <c r="L18" s="21">
        <f>MAX((L5+L16),0)</f>
        <v>0</v>
      </c>
      <c r="M18" s="21"/>
      <c r="N18" s="21">
        <f>MAX((N5+N16),0)</f>
        <v>389.50342344786526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0.20504837098967221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324.80789105764194</v>
      </c>
      <c r="C22" s="23">
        <f ca="1">C18*C20</f>
        <v>0</v>
      </c>
      <c r="D22" s="23">
        <f>D18*D20</f>
        <v>284.74898888688091</v>
      </c>
      <c r="E22" s="23">
        <f>E18*E20</f>
        <v>42.652487802623732</v>
      </c>
      <c r="F22" s="23">
        <f>F18*F20</f>
        <v>230.16701519981771</v>
      </c>
      <c r="G22" s="23"/>
      <c r="H22" s="23"/>
      <c r="I22" s="23"/>
      <c r="J22" s="23">
        <f>J18*J20</f>
        <v>0.81716258292670252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8.9370682728226001</v>
      </c>
      <c r="C30" s="39">
        <f>IF(ISERROR(B30*3.6/1000000/'E Balans VL '!Z18*100),0,B30*3.6/1000000/'E Balans VL '!Z18*100)</f>
        <v>8.7938470414069593E-4</v>
      </c>
      <c r="D30" s="239" t="s">
        <v>692</v>
      </c>
    </row>
    <row r="31" spans="1:18">
      <c r="A31" s="6" t="s">
        <v>33</v>
      </c>
      <c r="B31" s="37">
        <f>IF( ISERROR(IND_ander_ele_kWh/1000),0,IND_ander_ele_kWh/1000)</f>
        <v>435.45604933063299</v>
      </c>
      <c r="C31" s="39">
        <f>IF(ISERROR(B31*3.6/1000000/'E Balans VL '!Z19*100),0,B31*3.6/1000000/'E Balans VL '!Z19*100)</f>
        <v>1.8963763588480235E-2</v>
      </c>
      <c r="D31" s="239" t="s">
        <v>692</v>
      </c>
    </row>
    <row r="32" spans="1:18">
      <c r="A32" s="173" t="s">
        <v>41</v>
      </c>
      <c r="B32" s="37">
        <f>IF( ISERROR(IND_voed_ele_kWh/1000),0,IND_voed_ele_kWh/1000)</f>
        <v>240.27293271796501</v>
      </c>
      <c r="C32" s="39">
        <f>IF(ISERROR(B32*3.6/1000000/'E Balans VL '!Z20*100),0,B32*3.6/1000000/'E Balans VL '!Z20*100)</f>
        <v>4.5588323870584854E-2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899.38891919599996</v>
      </c>
      <c r="C37" s="39">
        <f>IF(ISERROR(B37*3.6/1000000/'E Balans VL '!Z15*100),0,B37*3.6/1000000/'E Balans VL '!Z15*100)</f>
        <v>6.9308962997034779E-3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401.83395071078161</v>
      </c>
      <c r="C5" s="17">
        <f>'Eigen informatie GS &amp; warmtenet'!B60</f>
        <v>0</v>
      </c>
      <c r="D5" s="30">
        <f>IF(ISERROR(SUM(LB_lb_gas_kWh,LB_rest_gas_kWh)/1000),0,SUM(LB_lb_gas_kWh,LB_rest_gas_kWh)/1000)*0.902</f>
        <v>20742.561656027065</v>
      </c>
      <c r="E5" s="17">
        <f>B17*'E Balans VL '!I25/3.6*1000000/100</f>
        <v>5.0636254463367942</v>
      </c>
      <c r="F5" s="17">
        <f>B17*('E Balans VL '!L25/3.6*1000000+'E Balans VL '!N25/3.6*1000000)/100</f>
        <v>1386.4277953718549</v>
      </c>
      <c r="G5" s="18"/>
      <c r="H5" s="17"/>
      <c r="I5" s="17"/>
      <c r="J5" s="17">
        <f>('E Balans VL '!D25+'E Balans VL '!E25)/3.6*1000000*landbouw!B17/100</f>
        <v>60.431258299765616</v>
      </c>
      <c r="K5" s="17"/>
      <c r="L5" s="17">
        <f>L6*(-1)</f>
        <v>0</v>
      </c>
      <c r="M5" s="17"/>
      <c r="N5" s="17">
        <f>N6*(-1)</f>
        <v>0</v>
      </c>
      <c r="O5" s="17"/>
      <c r="P5" s="17"/>
      <c r="R5" s="32"/>
    </row>
    <row r="6" spans="1:18">
      <c r="A6" s="16" t="s">
        <v>497</v>
      </c>
      <c r="B6" s="17" t="s">
        <v>211</v>
      </c>
      <c r="C6" s="17">
        <f>'lokale energieproductie'!O92+'lokale energieproductie'!O61</f>
        <v>9848.5714285714294</v>
      </c>
      <c r="D6" s="312">
        <f>('lokale energieproductie'!P61+'lokale energieproductie'!P92)*(-1)</f>
        <v>-19697.142857142859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401.83395071078161</v>
      </c>
      <c r="C8" s="21">
        <f>C5+C6</f>
        <v>9848.5714285714294</v>
      </c>
      <c r="D8" s="21">
        <f>MAX((D5+D6),0)</f>
        <v>1045.4187988842059</v>
      </c>
      <c r="E8" s="21">
        <f>MAX((E5+E6),0)</f>
        <v>5.0636254463367942</v>
      </c>
      <c r="F8" s="21">
        <f>MAX((F5+F6),0)</f>
        <v>1386.4277953718549</v>
      </c>
      <c r="G8" s="21"/>
      <c r="H8" s="21"/>
      <c r="I8" s="21"/>
      <c r="J8" s="21">
        <f>MAX((J5+J6),0)</f>
        <v>60.431258299765616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0.20504837098967221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82.395397001589998</v>
      </c>
      <c r="C12" s="23">
        <f ca="1">C8*C10</f>
        <v>2340.4840336134462</v>
      </c>
      <c r="D12" s="23">
        <f>D8*D10</f>
        <v>211.17459737460962</v>
      </c>
      <c r="E12" s="23">
        <f>E8*E10</f>
        <v>1.1494429763184524</v>
      </c>
      <c r="F12" s="23">
        <f>F8*F10</f>
        <v>370.17622136428531</v>
      </c>
      <c r="G12" s="23"/>
      <c r="H12" s="23"/>
      <c r="I12" s="23"/>
      <c r="J12" s="23">
        <f>J8*J10</f>
        <v>21.392665438117028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5.6043171053188137E-2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78.661928089012662</v>
      </c>
      <c r="C26" s="249">
        <f>B26*'GWP N2O_CH4'!B5</f>
        <v>1651.9004898692658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26.982283149853174</v>
      </c>
      <c r="C27" s="249">
        <f>B27*'GWP N2O_CH4'!B5</f>
        <v>566.62794614691666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0.9254957986951875</v>
      </c>
      <c r="C28" s="249">
        <f>B28*'GWP N2O_CH4'!B4</f>
        <v>286.90369759550811</v>
      </c>
      <c r="D28" s="50"/>
    </row>
    <row r="29" spans="1:4">
      <c r="A29" s="41" t="s">
        <v>277</v>
      </c>
      <c r="B29" s="249">
        <f>B34*'ha_N2O bodem landbouw'!B4</f>
        <v>4.6819065863632918</v>
      </c>
      <c r="C29" s="249">
        <f>B29*'GWP N2O_CH4'!B4</f>
        <v>1451.3910417726204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1.1690252916985819E-3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1.2293549131641308E-5</v>
      </c>
      <c r="C5" s="448" t="s">
        <v>211</v>
      </c>
      <c r="D5" s="433">
        <f>SUM(D6:D11)</f>
        <v>2.0626136983796558E-5</v>
      </c>
      <c r="E5" s="433">
        <f>SUM(E6:E11)</f>
        <v>6.2962526957186426E-4</v>
      </c>
      <c r="F5" s="446" t="s">
        <v>211</v>
      </c>
      <c r="G5" s="433">
        <f>SUM(G6:G11)</f>
        <v>0.14175832961497284</v>
      </c>
      <c r="H5" s="433">
        <f>SUM(H6:H11)</f>
        <v>3.0819320654858144E-2</v>
      </c>
      <c r="I5" s="448" t="s">
        <v>211</v>
      </c>
      <c r="J5" s="448" t="s">
        <v>211</v>
      </c>
      <c r="K5" s="448" t="s">
        <v>211</v>
      </c>
      <c r="L5" s="448" t="s">
        <v>211</v>
      </c>
      <c r="M5" s="433">
        <f>SUM(M6:M11)</f>
        <v>7.8044179518942519E-3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9.3877646530286074E-6</v>
      </c>
      <c r="C6" s="887"/>
      <c r="D6" s="887">
        <f>vkm_2011_GW_PW*SUMIFS(TableVerdeelsleutelVkm[CNG],TableVerdeelsleutelVkm[Voertuigtype],"Lichte voertuigen")*SUMIFS(TableECFTransport[EnergieConsumptieFactor (PJ per km)],TableECFTransport[Index],CONCATENATE($A6,"_CNG_CNG"))</f>
        <v>1.3294910813467621E-5</v>
      </c>
      <c r="E6" s="887">
        <f>vkm_2011_GW_PW*SUMIFS(TableVerdeelsleutelVkm[LPG],TableVerdeelsleutelVkm[Voertuigtype],"Lichte voertuigen")*SUMIFS(TableECFTransport[EnergieConsumptieFactor (PJ per km)],TableECFTransport[Index],CONCATENATE($A6,"_LPG_LPG"))</f>
        <v>4.1754938064913577E-4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7.5045057056173689E-2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2.0108926895946677E-2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4.3050702771063199E-3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2.931191038269669E-2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1.0414217889358949E-5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1.3227537497731846E-3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2.9057844786127009E-6</v>
      </c>
      <c r="C8" s="887"/>
      <c r="D8" s="436">
        <f>vkm_2011_NGW_PW*SUMIFS(TableVerdeelsleutelVkm[CNG],TableVerdeelsleutelVkm[Voertuigtype],"Lichte voertuigen")*SUMIFS(TableECFTransport[EnergieConsumptieFactor (PJ per km)],TableECFTransport[Index],CONCATENATE($A8,"_CNG_CNG"))</f>
        <v>7.3312261703289377E-6</v>
      </c>
      <c r="E8" s="436">
        <f>vkm_2011_NGW_PW*SUMIFS(TableVerdeelsleutelVkm[LPG],TableVerdeelsleutelVkm[Voertuigtype],"Lichte voertuigen")*SUMIFS(TableECFTransport[EnergieConsumptieFactor (PJ per km)],TableECFTransport[Index],CONCATENATE($A8,"_LPG_LPG"))</f>
        <v>2.1207588892272849E-4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3.5948919671575638E-2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1.0699491219138563E-2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2.1110510591203229E-3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1.4524425045268265E-3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4.8832188354285687E-7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6.5542865894423997E-5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3.4148747587892521</v>
      </c>
      <c r="C14" s="21"/>
      <c r="D14" s="21">
        <f t="shared" ref="D14:M14" si="0">((D5)*10^9/3600)+D12</f>
        <v>5.7294824954990435</v>
      </c>
      <c r="E14" s="21">
        <f t="shared" si="0"/>
        <v>174.89590821440675</v>
      </c>
      <c r="F14" s="21"/>
      <c r="G14" s="21">
        <f t="shared" si="0"/>
        <v>39377.3137819369</v>
      </c>
      <c r="H14" s="21">
        <f t="shared" si="0"/>
        <v>8560.9224041272628</v>
      </c>
      <c r="I14" s="21"/>
      <c r="J14" s="21"/>
      <c r="K14" s="21"/>
      <c r="L14" s="21"/>
      <c r="M14" s="21">
        <f t="shared" si="0"/>
        <v>2167.8938755261811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0.20504837098967221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0.70021450642348593</v>
      </c>
      <c r="C18" s="23"/>
      <c r="D18" s="23">
        <f t="shared" ref="D18:M18" si="1">D14*D16</f>
        <v>1.1573554640908068</v>
      </c>
      <c r="E18" s="23">
        <f t="shared" si="1"/>
        <v>39.701371164670334</v>
      </c>
      <c r="F18" s="23"/>
      <c r="G18" s="23">
        <f t="shared" si="1"/>
        <v>10513.742779777152</v>
      </c>
      <c r="H18" s="23">
        <f t="shared" si="1"/>
        <v>2131.6696786276884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1.3049834335003318E-3</v>
      </c>
      <c r="H50" s="323">
        <f t="shared" si="2"/>
        <v>0</v>
      </c>
      <c r="I50" s="323">
        <f t="shared" si="2"/>
        <v>0</v>
      </c>
      <c r="J50" s="323">
        <f t="shared" si="2"/>
        <v>0</v>
      </c>
      <c r="K50" s="323">
        <f t="shared" si="2"/>
        <v>0</v>
      </c>
      <c r="L50" s="323">
        <f t="shared" si="2"/>
        <v>0</v>
      </c>
      <c r="M50" s="323">
        <f t="shared" si="2"/>
        <v>5.8035805168113276E-5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1.3049834335003318E-3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5.8035805168113276E-5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362.49539819453662</v>
      </c>
      <c r="H54" s="21">
        <f t="shared" si="3"/>
        <v>0</v>
      </c>
      <c r="I54" s="21">
        <f t="shared" si="3"/>
        <v>0</v>
      </c>
      <c r="J54" s="21">
        <f t="shared" si="3"/>
        <v>0</v>
      </c>
      <c r="K54" s="21">
        <f t="shared" si="3"/>
        <v>0</v>
      </c>
      <c r="L54" s="21">
        <f t="shared" si="3"/>
        <v>0</v>
      </c>
      <c r="M54" s="21">
        <f t="shared" si="3"/>
        <v>16.121056991142577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0.20504837098967221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96.786271317941285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5983.0938652852174</v>
      </c>
      <c r="D10" s="690">
        <f ca="1">tertiair!C16</f>
        <v>0</v>
      </c>
      <c r="E10" s="690">
        <f ca="1">tertiair!D16</f>
        <v>9027.2250789721802</v>
      </c>
      <c r="F10" s="690">
        <f>tertiair!E16</f>
        <v>78.762167605539105</v>
      </c>
      <c r="G10" s="690">
        <f ca="1">tertiair!F16</f>
        <v>1148.669627539984</v>
      </c>
      <c r="H10" s="690">
        <f>tertiair!G16</f>
        <v>0</v>
      </c>
      <c r="I10" s="690">
        <f>tertiair!H16</f>
        <v>0</v>
      </c>
      <c r="J10" s="690">
        <f>tertiair!I16</f>
        <v>0</v>
      </c>
      <c r="K10" s="690">
        <f>tertiair!J16</f>
        <v>0</v>
      </c>
      <c r="L10" s="690">
        <f>tertiair!K16</f>
        <v>0</v>
      </c>
      <c r="M10" s="690">
        <f ca="1">tertiair!L16</f>
        <v>0</v>
      </c>
      <c r="N10" s="690">
        <f>tertiair!M16</f>
        <v>0</v>
      </c>
      <c r="O10" s="690">
        <f ca="1">tertiair!N16</f>
        <v>662.95136671388957</v>
      </c>
      <c r="P10" s="690">
        <f>tertiair!O16</f>
        <v>0</v>
      </c>
      <c r="Q10" s="691">
        <f>tertiair!P16</f>
        <v>0</v>
      </c>
      <c r="R10" s="693">
        <f ca="1">SUM(C10:Q10)</f>
        <v>16900.702106116809</v>
      </c>
      <c r="S10" s="67"/>
    </row>
    <row r="11" spans="1:19" s="458" customFormat="1">
      <c r="A11" s="805" t="s">
        <v>225</v>
      </c>
      <c r="B11" s="810"/>
      <c r="C11" s="690">
        <f>huishoudens!B8</f>
        <v>13982.713306774</v>
      </c>
      <c r="D11" s="690">
        <f>huishoudens!C8</f>
        <v>0</v>
      </c>
      <c r="E11" s="690">
        <f>huishoudens!D8</f>
        <v>41056.232912648033</v>
      </c>
      <c r="F11" s="690">
        <f>huishoudens!E8</f>
        <v>657.79896899588107</v>
      </c>
      <c r="G11" s="690">
        <f>huishoudens!F8</f>
        <v>4463.1341986100824</v>
      </c>
      <c r="H11" s="690">
        <f>huishoudens!G8</f>
        <v>0</v>
      </c>
      <c r="I11" s="690">
        <f>huishoudens!H8</f>
        <v>0</v>
      </c>
      <c r="J11" s="690">
        <f>huishoudens!I8</f>
        <v>0</v>
      </c>
      <c r="K11" s="690">
        <f>huishoudens!J8</f>
        <v>0</v>
      </c>
      <c r="L11" s="690">
        <f>huishoudens!K8</f>
        <v>0</v>
      </c>
      <c r="M11" s="690">
        <f>huishoudens!L8</f>
        <v>0</v>
      </c>
      <c r="N11" s="690">
        <f>huishoudens!M8</f>
        <v>0</v>
      </c>
      <c r="O11" s="690">
        <f>huishoudens!N8</f>
        <v>8725.9896768415292</v>
      </c>
      <c r="P11" s="690">
        <f>huishoudens!O8</f>
        <v>73.476666666666674</v>
      </c>
      <c r="Q11" s="691">
        <f>huishoudens!P8</f>
        <v>133.46666666666667</v>
      </c>
      <c r="R11" s="693">
        <f>SUM(C11:Q11)</f>
        <v>69092.812397202855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1584.0549695174204</v>
      </c>
      <c r="D13" s="690">
        <f>industrie!C18</f>
        <v>0</v>
      </c>
      <c r="E13" s="690">
        <f>industrie!D18</f>
        <v>1409.6484598360439</v>
      </c>
      <c r="F13" s="690">
        <f>industrie!E18</f>
        <v>187.89642203798999</v>
      </c>
      <c r="G13" s="690">
        <f>industrie!F18</f>
        <v>862.04874606673297</v>
      </c>
      <c r="H13" s="690">
        <f>industrie!G18</f>
        <v>0</v>
      </c>
      <c r="I13" s="690">
        <f>industrie!H18</f>
        <v>0</v>
      </c>
      <c r="J13" s="690">
        <f>industrie!I18</f>
        <v>0</v>
      </c>
      <c r="K13" s="690">
        <f>industrie!J18</f>
        <v>2.3083688783240186</v>
      </c>
      <c r="L13" s="690">
        <f>industrie!K18</f>
        <v>0</v>
      </c>
      <c r="M13" s="690">
        <f>industrie!L18</f>
        <v>0</v>
      </c>
      <c r="N13" s="690">
        <f>industrie!M18</f>
        <v>0</v>
      </c>
      <c r="O13" s="690">
        <f>industrie!N18</f>
        <v>389.50342344786526</v>
      </c>
      <c r="P13" s="690">
        <f>industrie!O18</f>
        <v>0</v>
      </c>
      <c r="Q13" s="691">
        <f>industrie!P18</f>
        <v>0</v>
      </c>
      <c r="R13" s="693">
        <f>SUM(C13:Q13)</f>
        <v>4435.4603897843763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21549.862141576636</v>
      </c>
      <c r="D16" s="725">
        <f t="shared" ref="D16:R16" ca="1" si="0">SUM(D9:D15)</f>
        <v>0</v>
      </c>
      <c r="E16" s="725">
        <f t="shared" ca="1" si="0"/>
        <v>51493.10645145626</v>
      </c>
      <c r="F16" s="725">
        <f t="shared" si="0"/>
        <v>924.45755863941019</v>
      </c>
      <c r="G16" s="725">
        <f t="shared" ca="1" si="0"/>
        <v>6473.8525722167988</v>
      </c>
      <c r="H16" s="725">
        <f t="shared" si="0"/>
        <v>0</v>
      </c>
      <c r="I16" s="725">
        <f t="shared" si="0"/>
        <v>0</v>
      </c>
      <c r="J16" s="725">
        <f t="shared" si="0"/>
        <v>0</v>
      </c>
      <c r="K16" s="725">
        <f t="shared" si="0"/>
        <v>2.3083688783240186</v>
      </c>
      <c r="L16" s="725">
        <f t="shared" si="0"/>
        <v>0</v>
      </c>
      <c r="M16" s="725">
        <f t="shared" ca="1" si="0"/>
        <v>0</v>
      </c>
      <c r="N16" s="725">
        <f t="shared" si="0"/>
        <v>0</v>
      </c>
      <c r="O16" s="725">
        <f t="shared" ca="1" si="0"/>
        <v>9778.4444670032826</v>
      </c>
      <c r="P16" s="725">
        <f t="shared" si="0"/>
        <v>73.476666666666674</v>
      </c>
      <c r="Q16" s="725">
        <f t="shared" si="0"/>
        <v>133.46666666666667</v>
      </c>
      <c r="R16" s="725">
        <f t="shared" ca="1" si="0"/>
        <v>90428.974893104038</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362.49539819453662</v>
      </c>
      <c r="I19" s="690">
        <f>transport!H54</f>
        <v>0</v>
      </c>
      <c r="J19" s="690">
        <f>transport!I54</f>
        <v>0</v>
      </c>
      <c r="K19" s="690">
        <f>transport!J54</f>
        <v>0</v>
      </c>
      <c r="L19" s="690">
        <f>transport!K54</f>
        <v>0</v>
      </c>
      <c r="M19" s="690">
        <f>transport!L54</f>
        <v>0</v>
      </c>
      <c r="N19" s="690">
        <f>transport!M54</f>
        <v>16.121056991142577</v>
      </c>
      <c r="O19" s="690">
        <f>transport!N54</f>
        <v>0</v>
      </c>
      <c r="P19" s="690">
        <f>transport!O54</f>
        <v>0</v>
      </c>
      <c r="Q19" s="691">
        <f>transport!P54</f>
        <v>0</v>
      </c>
      <c r="R19" s="693">
        <f>SUM(C19:Q19)</f>
        <v>378.61645518567917</v>
      </c>
      <c r="S19" s="67"/>
    </row>
    <row r="20" spans="1:19" s="458" customFormat="1">
      <c r="A20" s="805" t="s">
        <v>307</v>
      </c>
      <c r="B20" s="810"/>
      <c r="C20" s="690">
        <f>transport!B14</f>
        <v>3.4148747587892521</v>
      </c>
      <c r="D20" s="690">
        <f>transport!C14</f>
        <v>0</v>
      </c>
      <c r="E20" s="690">
        <f>transport!D14</f>
        <v>5.7294824954990435</v>
      </c>
      <c r="F20" s="690">
        <f>transport!E14</f>
        <v>174.89590821440675</v>
      </c>
      <c r="G20" s="690">
        <f>transport!F14</f>
        <v>0</v>
      </c>
      <c r="H20" s="690">
        <f>transport!G14</f>
        <v>39377.3137819369</v>
      </c>
      <c r="I20" s="690">
        <f>transport!H14</f>
        <v>8560.9224041272628</v>
      </c>
      <c r="J20" s="690">
        <f>transport!I14</f>
        <v>0</v>
      </c>
      <c r="K20" s="690">
        <f>transport!J14</f>
        <v>0</v>
      </c>
      <c r="L20" s="690">
        <f>transport!K14</f>
        <v>0</v>
      </c>
      <c r="M20" s="690">
        <f>transport!L14</f>
        <v>0</v>
      </c>
      <c r="N20" s="690">
        <f>transport!M14</f>
        <v>2167.8938755261811</v>
      </c>
      <c r="O20" s="690">
        <f>transport!N14</f>
        <v>0</v>
      </c>
      <c r="P20" s="690">
        <f>transport!O14</f>
        <v>0</v>
      </c>
      <c r="Q20" s="691">
        <f>transport!P14</f>
        <v>0</v>
      </c>
      <c r="R20" s="693">
        <f>SUM(C20:Q20)</f>
        <v>50290.170327059044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3.4148747587892521</v>
      </c>
      <c r="D22" s="808">
        <f t="shared" ref="D22:R22" si="1">SUM(D18:D21)</f>
        <v>0</v>
      </c>
      <c r="E22" s="808">
        <f t="shared" si="1"/>
        <v>5.7294824954990435</v>
      </c>
      <c r="F22" s="808">
        <f t="shared" si="1"/>
        <v>174.89590821440675</v>
      </c>
      <c r="G22" s="808">
        <f t="shared" si="1"/>
        <v>0</v>
      </c>
      <c r="H22" s="808">
        <f t="shared" si="1"/>
        <v>39739.809180131437</v>
      </c>
      <c r="I22" s="808">
        <f t="shared" si="1"/>
        <v>8560.9224041272628</v>
      </c>
      <c r="J22" s="808">
        <f t="shared" si="1"/>
        <v>0</v>
      </c>
      <c r="K22" s="808">
        <f t="shared" si="1"/>
        <v>0</v>
      </c>
      <c r="L22" s="808">
        <f t="shared" si="1"/>
        <v>0</v>
      </c>
      <c r="M22" s="808">
        <f t="shared" si="1"/>
        <v>0</v>
      </c>
      <c r="N22" s="808">
        <f t="shared" si="1"/>
        <v>2184.0149325173238</v>
      </c>
      <c r="O22" s="808">
        <f t="shared" si="1"/>
        <v>0</v>
      </c>
      <c r="P22" s="808">
        <f t="shared" si="1"/>
        <v>0</v>
      </c>
      <c r="Q22" s="808">
        <f t="shared" si="1"/>
        <v>0</v>
      </c>
      <c r="R22" s="808">
        <f t="shared" si="1"/>
        <v>50668.786782244722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401.83395071078161</v>
      </c>
      <c r="D24" s="690">
        <f>+landbouw!C8</f>
        <v>9848.5714285714294</v>
      </c>
      <c r="E24" s="690">
        <f>+landbouw!D8</f>
        <v>1045.4187988842059</v>
      </c>
      <c r="F24" s="690">
        <f>+landbouw!E8</f>
        <v>5.0636254463367942</v>
      </c>
      <c r="G24" s="690">
        <f>+landbouw!F8</f>
        <v>1386.4277953718549</v>
      </c>
      <c r="H24" s="690">
        <f>+landbouw!G8</f>
        <v>0</v>
      </c>
      <c r="I24" s="690">
        <f>+landbouw!H8</f>
        <v>0</v>
      </c>
      <c r="J24" s="690">
        <f>+landbouw!I8</f>
        <v>0</v>
      </c>
      <c r="K24" s="690">
        <f>+landbouw!J8</f>
        <v>60.431258299765616</v>
      </c>
      <c r="L24" s="690">
        <f>+landbouw!K8</f>
        <v>0</v>
      </c>
      <c r="M24" s="690">
        <f>+landbouw!L8</f>
        <v>0</v>
      </c>
      <c r="N24" s="690">
        <f>+landbouw!M8</f>
        <v>0</v>
      </c>
      <c r="O24" s="690">
        <f>+landbouw!N8</f>
        <v>0</v>
      </c>
      <c r="P24" s="690">
        <f>+landbouw!O8</f>
        <v>0</v>
      </c>
      <c r="Q24" s="691">
        <f>+landbouw!P8</f>
        <v>0</v>
      </c>
      <c r="R24" s="693">
        <f>SUM(C24:Q24)</f>
        <v>12747.746857284375</v>
      </c>
      <c r="S24" s="67"/>
    </row>
    <row r="25" spans="1:19" s="458" customFormat="1" ht="15" thickBot="1">
      <c r="A25" s="827" t="s">
        <v>872</v>
      </c>
      <c r="B25" s="1004"/>
      <c r="C25" s="1005">
        <f>IF(Onbekend_ele_kWh="---",0,Onbekend_ele_kWh)/1000+IF(REST_rest_ele_kWh="---",0,REST_rest_ele_kWh)/1000</f>
        <v>406.08927398538799</v>
      </c>
      <c r="D25" s="1005"/>
      <c r="E25" s="1005">
        <f>IF(onbekend_gas_kWh="---",0,onbekend_gas_kWh)/1000+IF(REST_rest_gas_kWh="---",0,REST_rest_gas_kWh)/1000</f>
        <v>1500.73561566952</v>
      </c>
      <c r="F25" s="1005"/>
      <c r="G25" s="1005"/>
      <c r="H25" s="1005"/>
      <c r="I25" s="1005"/>
      <c r="J25" s="1005"/>
      <c r="K25" s="1005"/>
      <c r="L25" s="1005"/>
      <c r="M25" s="1005"/>
      <c r="N25" s="1005"/>
      <c r="O25" s="1005"/>
      <c r="P25" s="1005"/>
      <c r="Q25" s="1006"/>
      <c r="R25" s="693">
        <f>SUM(C25:Q25)</f>
        <v>1906.824889654908</v>
      </c>
      <c r="S25" s="67"/>
    </row>
    <row r="26" spans="1:19" s="458" customFormat="1" ht="15.75" thickBot="1">
      <c r="A26" s="698" t="s">
        <v>873</v>
      </c>
      <c r="B26" s="813"/>
      <c r="C26" s="808">
        <f>SUM(C24:C25)</f>
        <v>807.92322469616965</v>
      </c>
      <c r="D26" s="808">
        <f t="shared" ref="D26:R26" si="2">SUM(D24:D25)</f>
        <v>9848.5714285714294</v>
      </c>
      <c r="E26" s="808">
        <f t="shared" si="2"/>
        <v>2546.1544145537259</v>
      </c>
      <c r="F26" s="808">
        <f t="shared" si="2"/>
        <v>5.0636254463367942</v>
      </c>
      <c r="G26" s="808">
        <f t="shared" si="2"/>
        <v>1386.4277953718549</v>
      </c>
      <c r="H26" s="808">
        <f t="shared" si="2"/>
        <v>0</v>
      </c>
      <c r="I26" s="808">
        <f t="shared" si="2"/>
        <v>0</v>
      </c>
      <c r="J26" s="808">
        <f t="shared" si="2"/>
        <v>0</v>
      </c>
      <c r="K26" s="808">
        <f t="shared" si="2"/>
        <v>60.431258299765616</v>
      </c>
      <c r="L26" s="808">
        <f t="shared" si="2"/>
        <v>0</v>
      </c>
      <c r="M26" s="808">
        <f t="shared" si="2"/>
        <v>0</v>
      </c>
      <c r="N26" s="808">
        <f t="shared" si="2"/>
        <v>0</v>
      </c>
      <c r="O26" s="808">
        <f t="shared" si="2"/>
        <v>0</v>
      </c>
      <c r="P26" s="808">
        <f t="shared" si="2"/>
        <v>0</v>
      </c>
      <c r="Q26" s="808">
        <f t="shared" si="2"/>
        <v>0</v>
      </c>
      <c r="R26" s="808">
        <f t="shared" si="2"/>
        <v>14654.571746939284</v>
      </c>
      <c r="S26" s="67"/>
    </row>
    <row r="27" spans="1:19" s="458" customFormat="1" ht="17.25" thickTop="1" thickBot="1">
      <c r="A27" s="699" t="s">
        <v>116</v>
      </c>
      <c r="B27" s="800"/>
      <c r="C27" s="700">
        <f ca="1">C22+C16+C26</f>
        <v>22361.200241031594</v>
      </c>
      <c r="D27" s="700">
        <f t="shared" ref="D27:R27" ca="1" si="3">D22+D16+D26</f>
        <v>9848.5714285714294</v>
      </c>
      <c r="E27" s="700">
        <f t="shared" ca="1" si="3"/>
        <v>54044.990348505489</v>
      </c>
      <c r="F27" s="700">
        <f t="shared" si="3"/>
        <v>1104.4170923001536</v>
      </c>
      <c r="G27" s="700">
        <f t="shared" ca="1" si="3"/>
        <v>7860.2803675886535</v>
      </c>
      <c r="H27" s="700">
        <f t="shared" si="3"/>
        <v>39739.809180131437</v>
      </c>
      <c r="I27" s="700">
        <f t="shared" si="3"/>
        <v>8560.9224041272628</v>
      </c>
      <c r="J27" s="700">
        <f t="shared" si="3"/>
        <v>0</v>
      </c>
      <c r="K27" s="700">
        <f t="shared" si="3"/>
        <v>62.739627178089634</v>
      </c>
      <c r="L27" s="700">
        <f t="shared" si="3"/>
        <v>0</v>
      </c>
      <c r="M27" s="700">
        <f t="shared" ca="1" si="3"/>
        <v>0</v>
      </c>
      <c r="N27" s="700">
        <f t="shared" si="3"/>
        <v>2184.0149325173238</v>
      </c>
      <c r="O27" s="700">
        <f t="shared" ca="1" si="3"/>
        <v>9778.4444670032826</v>
      </c>
      <c r="P27" s="700">
        <f t="shared" si="3"/>
        <v>73.476666666666674</v>
      </c>
      <c r="Q27" s="700">
        <f t="shared" si="3"/>
        <v>133.46666666666667</v>
      </c>
      <c r="R27" s="700">
        <f t="shared" ca="1" si="3"/>
        <v>155752.33342228807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1226.8236505550351</v>
      </c>
      <c r="D40" s="690">
        <f ca="1">tertiair!C20</f>
        <v>0</v>
      </c>
      <c r="E40" s="690">
        <f ca="1">tertiair!D20</f>
        <v>1823.4994659523804</v>
      </c>
      <c r="F40" s="690">
        <f>tertiair!E20</f>
        <v>17.879012046457376</v>
      </c>
      <c r="G40" s="690">
        <f ca="1">tertiair!F20</f>
        <v>306.69479055317578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3374.8969191070487</v>
      </c>
    </row>
    <row r="41" spans="1:18">
      <c r="A41" s="818" t="s">
        <v>225</v>
      </c>
      <c r="B41" s="825"/>
      <c r="C41" s="690">
        <f ca="1">huishoudens!B12</f>
        <v>2867.1325855696214</v>
      </c>
      <c r="D41" s="690">
        <f ca="1">huishoudens!C12</f>
        <v>0</v>
      </c>
      <c r="E41" s="690">
        <f>huishoudens!D12</f>
        <v>8293.3590483549033</v>
      </c>
      <c r="F41" s="690">
        <f>huishoudens!E12</f>
        <v>149.32036596206501</v>
      </c>
      <c r="G41" s="690">
        <f>huishoudens!F12</f>
        <v>1191.6568310288922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12501.468830915481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324.80789105764194</v>
      </c>
      <c r="D43" s="690">
        <f ca="1">industrie!C22</f>
        <v>0</v>
      </c>
      <c r="E43" s="690">
        <f>industrie!D22</f>
        <v>284.74898888688091</v>
      </c>
      <c r="F43" s="690">
        <f>industrie!E22</f>
        <v>42.652487802623732</v>
      </c>
      <c r="G43" s="690">
        <f>industrie!F22</f>
        <v>230.16701519981771</v>
      </c>
      <c r="H43" s="690">
        <f>industrie!G22</f>
        <v>0</v>
      </c>
      <c r="I43" s="690">
        <f>industrie!H22</f>
        <v>0</v>
      </c>
      <c r="J43" s="690">
        <f>industrie!I22</f>
        <v>0</v>
      </c>
      <c r="K43" s="690">
        <f>industrie!J22</f>
        <v>0.81716258292670252</v>
      </c>
      <c r="L43" s="690">
        <f>industrie!K22</f>
        <v>0</v>
      </c>
      <c r="M43" s="690">
        <f>industrie!L22</f>
        <v>0</v>
      </c>
      <c r="N43" s="690">
        <f>industrie!M22</f>
        <v>0</v>
      </c>
      <c r="O43" s="690">
        <f>industrie!N22</f>
        <v>0</v>
      </c>
      <c r="P43" s="690">
        <f>industrie!O22</f>
        <v>0</v>
      </c>
      <c r="Q43" s="767">
        <f>industrie!P22</f>
        <v>0</v>
      </c>
      <c r="R43" s="845">
        <f t="shared" ca="1" si="4"/>
        <v>883.19354552989091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4418.7641271822986</v>
      </c>
      <c r="D46" s="725">
        <f t="shared" ref="D46:Q46" ca="1" si="5">SUM(D39:D45)</f>
        <v>0</v>
      </c>
      <c r="E46" s="725">
        <f t="shared" ca="1" si="5"/>
        <v>10401.607503194164</v>
      </c>
      <c r="F46" s="725">
        <f t="shared" si="5"/>
        <v>209.85186581114613</v>
      </c>
      <c r="G46" s="725">
        <f t="shared" ca="1" si="5"/>
        <v>1728.5186367818858</v>
      </c>
      <c r="H46" s="725">
        <f t="shared" si="5"/>
        <v>0</v>
      </c>
      <c r="I46" s="725">
        <f t="shared" si="5"/>
        <v>0</v>
      </c>
      <c r="J46" s="725">
        <f t="shared" si="5"/>
        <v>0</v>
      </c>
      <c r="K46" s="725">
        <f t="shared" si="5"/>
        <v>0.81716258292670252</v>
      </c>
      <c r="L46" s="725">
        <f t="shared" si="5"/>
        <v>0</v>
      </c>
      <c r="M46" s="725">
        <f t="shared" ca="1" si="5"/>
        <v>0</v>
      </c>
      <c r="N46" s="725">
        <f t="shared" si="5"/>
        <v>0</v>
      </c>
      <c r="O46" s="725">
        <f t="shared" ca="1" si="5"/>
        <v>0</v>
      </c>
      <c r="P46" s="725">
        <f t="shared" si="5"/>
        <v>0</v>
      </c>
      <c r="Q46" s="725">
        <f t="shared" si="5"/>
        <v>0</v>
      </c>
      <c r="R46" s="725">
        <f ca="1">SUM(R39:R45)</f>
        <v>16759.559295552419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96.786271317941285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96.786271317941285</v>
      </c>
    </row>
    <row r="50" spans="1:18">
      <c r="A50" s="821" t="s">
        <v>307</v>
      </c>
      <c r="B50" s="831"/>
      <c r="C50" s="696">
        <f ca="1">transport!B18</f>
        <v>0.70021450642348593</v>
      </c>
      <c r="D50" s="696">
        <f>transport!C18</f>
        <v>0</v>
      </c>
      <c r="E50" s="696">
        <f>transport!D18</f>
        <v>1.1573554640908068</v>
      </c>
      <c r="F50" s="696">
        <f>transport!E18</f>
        <v>39.701371164670334</v>
      </c>
      <c r="G50" s="696">
        <f>transport!F18</f>
        <v>0</v>
      </c>
      <c r="H50" s="696">
        <f>transport!G18</f>
        <v>10513.742779777152</v>
      </c>
      <c r="I50" s="696">
        <f>transport!H18</f>
        <v>2131.6696786276884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12686.971399540025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0.70021450642348593</v>
      </c>
      <c r="D52" s="725">
        <f t="shared" ref="D52:Q52" ca="1" si="6">SUM(D48:D51)</f>
        <v>0</v>
      </c>
      <c r="E52" s="725">
        <f t="shared" si="6"/>
        <v>1.1573554640908068</v>
      </c>
      <c r="F52" s="725">
        <f t="shared" si="6"/>
        <v>39.701371164670334</v>
      </c>
      <c r="G52" s="725">
        <f t="shared" si="6"/>
        <v>0</v>
      </c>
      <c r="H52" s="725">
        <f t="shared" si="6"/>
        <v>10610.529051095094</v>
      </c>
      <c r="I52" s="725">
        <f t="shared" si="6"/>
        <v>2131.6696786276884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12783.757670857967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82.395397001589998</v>
      </c>
      <c r="D54" s="696">
        <f ca="1">+landbouw!C12</f>
        <v>2340.4840336134462</v>
      </c>
      <c r="E54" s="696">
        <f>+landbouw!D12</f>
        <v>211.17459737460962</v>
      </c>
      <c r="F54" s="696">
        <f>+landbouw!E12</f>
        <v>1.1494429763184524</v>
      </c>
      <c r="G54" s="696">
        <f>+landbouw!F12</f>
        <v>370.17622136428531</v>
      </c>
      <c r="H54" s="696">
        <f>+landbouw!G12</f>
        <v>0</v>
      </c>
      <c r="I54" s="696">
        <f>+landbouw!H12</f>
        <v>0</v>
      </c>
      <c r="J54" s="696">
        <f>+landbouw!I12</f>
        <v>0</v>
      </c>
      <c r="K54" s="696">
        <f>+landbouw!J12</f>
        <v>21.392665438117028</v>
      </c>
      <c r="L54" s="696">
        <f>+landbouw!K12</f>
        <v>0</v>
      </c>
      <c r="M54" s="696">
        <f>+landbouw!L12</f>
        <v>0</v>
      </c>
      <c r="N54" s="696">
        <f>+landbouw!M12</f>
        <v>0</v>
      </c>
      <c r="O54" s="696">
        <f>+landbouw!N12</f>
        <v>0</v>
      </c>
      <c r="P54" s="696">
        <f>+landbouw!O12</f>
        <v>0</v>
      </c>
      <c r="Q54" s="697">
        <f>+landbouw!P12</f>
        <v>0</v>
      </c>
      <c r="R54" s="724">
        <f ca="1">SUM(C54:Q54)</f>
        <v>3026.7723577683669</v>
      </c>
    </row>
    <row r="55" spans="1:18" ht="15" thickBot="1">
      <c r="A55" s="821" t="s">
        <v>872</v>
      </c>
      <c r="B55" s="831"/>
      <c r="C55" s="696">
        <f ca="1">C25*'EF ele_warmte'!B12</f>
        <v>83.267944107082485</v>
      </c>
      <c r="D55" s="696"/>
      <c r="E55" s="696">
        <f>E25*EF_CO2_aardgas</f>
        <v>303.14859436524307</v>
      </c>
      <c r="F55" s="696"/>
      <c r="G55" s="696"/>
      <c r="H55" s="696"/>
      <c r="I55" s="696"/>
      <c r="J55" s="696"/>
      <c r="K55" s="696"/>
      <c r="L55" s="696"/>
      <c r="M55" s="696"/>
      <c r="N55" s="696"/>
      <c r="O55" s="696"/>
      <c r="P55" s="696"/>
      <c r="Q55" s="697"/>
      <c r="R55" s="724">
        <f ca="1">SUM(C55:Q55)</f>
        <v>386.41653847232556</v>
      </c>
    </row>
    <row r="56" spans="1:18" ht="15.75" thickBot="1">
      <c r="A56" s="819" t="s">
        <v>873</v>
      </c>
      <c r="B56" s="832"/>
      <c r="C56" s="725">
        <f ca="1">SUM(C54:C55)</f>
        <v>165.66334110867248</v>
      </c>
      <c r="D56" s="725">
        <f t="shared" ref="D56:Q56" ca="1" si="7">SUM(D54:D55)</f>
        <v>2340.4840336134462</v>
      </c>
      <c r="E56" s="725">
        <f t="shared" si="7"/>
        <v>514.32319173985275</v>
      </c>
      <c r="F56" s="725">
        <f t="shared" si="7"/>
        <v>1.1494429763184524</v>
      </c>
      <c r="G56" s="725">
        <f t="shared" si="7"/>
        <v>370.17622136428531</v>
      </c>
      <c r="H56" s="725">
        <f t="shared" si="7"/>
        <v>0</v>
      </c>
      <c r="I56" s="725">
        <f t="shared" si="7"/>
        <v>0</v>
      </c>
      <c r="J56" s="725">
        <f t="shared" si="7"/>
        <v>0</v>
      </c>
      <c r="K56" s="725">
        <f t="shared" si="7"/>
        <v>21.392665438117028</v>
      </c>
      <c r="L56" s="725">
        <f t="shared" si="7"/>
        <v>0</v>
      </c>
      <c r="M56" s="725">
        <f t="shared" si="7"/>
        <v>0</v>
      </c>
      <c r="N56" s="725">
        <f t="shared" si="7"/>
        <v>0</v>
      </c>
      <c r="O56" s="725">
        <f t="shared" si="7"/>
        <v>0</v>
      </c>
      <c r="P56" s="725">
        <f t="shared" si="7"/>
        <v>0</v>
      </c>
      <c r="Q56" s="726">
        <f t="shared" si="7"/>
        <v>0</v>
      </c>
      <c r="R56" s="727">
        <f ca="1">SUM(R54:R55)</f>
        <v>3413.1888962406924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4585.1276827973943</v>
      </c>
      <c r="D61" s="733">
        <f t="shared" ref="D61:Q61" ca="1" si="8">D46+D52+D56</f>
        <v>2340.4840336134462</v>
      </c>
      <c r="E61" s="733">
        <f t="shared" ca="1" si="8"/>
        <v>10917.088050398108</v>
      </c>
      <c r="F61" s="733">
        <f t="shared" si="8"/>
        <v>250.7026799521349</v>
      </c>
      <c r="G61" s="733">
        <f t="shared" ca="1" si="8"/>
        <v>2098.6948581461711</v>
      </c>
      <c r="H61" s="733">
        <f t="shared" si="8"/>
        <v>10610.529051095094</v>
      </c>
      <c r="I61" s="733">
        <f t="shared" si="8"/>
        <v>2131.6696786276884</v>
      </c>
      <c r="J61" s="733">
        <f t="shared" si="8"/>
        <v>0</v>
      </c>
      <c r="K61" s="733">
        <f t="shared" si="8"/>
        <v>22.20982802104373</v>
      </c>
      <c r="L61" s="733">
        <f t="shared" si="8"/>
        <v>0</v>
      </c>
      <c r="M61" s="733">
        <f t="shared" ca="1" si="8"/>
        <v>0</v>
      </c>
      <c r="N61" s="733">
        <f t="shared" si="8"/>
        <v>0</v>
      </c>
      <c r="O61" s="733">
        <f t="shared" ca="1" si="8"/>
        <v>0</v>
      </c>
      <c r="P61" s="733">
        <f t="shared" si="8"/>
        <v>0</v>
      </c>
      <c r="Q61" s="733">
        <f t="shared" si="8"/>
        <v>0</v>
      </c>
      <c r="R61" s="733">
        <f ca="1">R46+R52+R56</f>
        <v>32956.50586265108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0.20504837098967221</v>
      </c>
      <c r="D63" s="776">
        <f t="shared" ca="1" si="9"/>
        <v>0.23764705882352946</v>
      </c>
      <c r="E63" s="1011">
        <f t="shared" ca="1" si="9"/>
        <v>0.20199999999999999</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2133.3139999999999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6894</v>
      </c>
      <c r="D76" s="1021">
        <f>'lokale energieproductie'!C8</f>
        <v>8110.5882352941189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1638.3388235294121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2133.3139999999999</v>
      </c>
      <c r="C78" s="748">
        <f>SUM(C72:C77)</f>
        <v>6894</v>
      </c>
      <c r="D78" s="749">
        <f t="shared" ref="D78:H78" si="10">SUM(D76:D77)</f>
        <v>8110.5882352941189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1638.3388235294121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9848.5714285714294</v>
      </c>
      <c r="D87" s="770">
        <f>'lokale energieproductie'!C17</f>
        <v>11586.554621848743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2340.4840336134462</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9848.5714285714294</v>
      </c>
      <c r="D90" s="748">
        <f t="shared" ref="D90:H90" si="12">SUM(D87:D89)</f>
        <v>11586.554621848743</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2340.4840336134462</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2133.3139999999999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6894</v>
      </c>
      <c r="C8" s="560">
        <f>B101</f>
        <v>8110.5882352941189</v>
      </c>
      <c r="D8" s="1028"/>
      <c r="E8" s="1028">
        <f>E101</f>
        <v>0</v>
      </c>
      <c r="F8" s="1029"/>
      <c r="G8" s="561"/>
      <c r="H8" s="1028">
        <f>I101</f>
        <v>0</v>
      </c>
      <c r="I8" s="1028">
        <f>G101+F101</f>
        <v>0</v>
      </c>
      <c r="J8" s="1028">
        <f>H101+D101+C101</f>
        <v>0</v>
      </c>
      <c r="K8" s="1028"/>
      <c r="L8" s="1028"/>
      <c r="M8" s="1028"/>
      <c r="N8" s="562"/>
      <c r="O8" s="563">
        <f>C8*$C$12+D8*$D$12+E8*$E$12+F8*$F$12+G8*$G$12+H8*$H$12+I8*$I$12+J8*$J$12</f>
        <v>1638.3388235294121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9027.3140000000003</v>
      </c>
      <c r="C10" s="573">
        <f t="shared" ref="C10:L10" si="0">SUM(C8:C9)</f>
        <v>8110.5882352941189</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1638.3388235294121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9848.5714285714294</v>
      </c>
      <c r="C17" s="585">
        <f>B102</f>
        <v>11586.554621848743</v>
      </c>
      <c r="D17" s="586"/>
      <c r="E17" s="586">
        <f>E102</f>
        <v>0</v>
      </c>
      <c r="F17" s="1034"/>
      <c r="G17" s="587"/>
      <c r="H17" s="585">
        <f>I102</f>
        <v>0</v>
      </c>
      <c r="I17" s="586">
        <f>G102+F102</f>
        <v>0</v>
      </c>
      <c r="J17" s="586">
        <f>H102+D102+C102</f>
        <v>0</v>
      </c>
      <c r="K17" s="586"/>
      <c r="L17" s="586"/>
      <c r="M17" s="586"/>
      <c r="N17" s="1035"/>
      <c r="O17" s="588">
        <f>C17*$C$22+E17*$E$22+H17*$H$22+I17*$I$22+J17*$J$22+D17*$D$22+F17*$F$22+G17*$G$22+K17*$K$22+L17*$L$22</f>
        <v>2340.4840336134462</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9848.5714285714294</v>
      </c>
      <c r="C20" s="572">
        <f>SUM(C17:C19)</f>
        <v>11586.554621848743</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2340.4840336134462</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12034</v>
      </c>
      <c r="C28" s="791">
        <v>2890</v>
      </c>
      <c r="D28" s="644" t="s">
        <v>913</v>
      </c>
      <c r="E28" s="643" t="s">
        <v>914</v>
      </c>
      <c r="F28" s="643" t="s">
        <v>915</v>
      </c>
      <c r="G28" s="643" t="s">
        <v>916</v>
      </c>
      <c r="H28" s="643" t="s">
        <v>917</v>
      </c>
      <c r="I28" s="643" t="s">
        <v>914</v>
      </c>
      <c r="J28" s="790">
        <v>39242</v>
      </c>
      <c r="K28" s="790">
        <v>39261</v>
      </c>
      <c r="L28" s="643" t="s">
        <v>918</v>
      </c>
      <c r="M28" s="643">
        <v>1532</v>
      </c>
      <c r="N28" s="643">
        <v>6894</v>
      </c>
      <c r="O28" s="643">
        <v>9848.5714285714294</v>
      </c>
      <c r="P28" s="643">
        <v>19697.142857142859</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1532</v>
      </c>
      <c r="N58" s="601">
        <f>SUM(N28:N57)</f>
        <v>6894</v>
      </c>
      <c r="O58" s="601">
        <f t="shared" ref="O58:W58" si="2">SUM(O28:O57)</f>
        <v>9848.5714285714294</v>
      </c>
      <c r="P58" s="601">
        <f t="shared" si="2"/>
        <v>19697.142857142859</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1532</v>
      </c>
      <c r="N61" s="606">
        <f t="shared" si="4"/>
        <v>6894</v>
      </c>
      <c r="O61" s="606">
        <f t="shared" si="4"/>
        <v>9848.5714285714294</v>
      </c>
      <c r="P61" s="606">
        <f t="shared" si="4"/>
        <v>19697.142857142859</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0.58823529411764719</v>
      </c>
      <c r="C98" s="626">
        <f>IF(ISERROR(N58/(O58+N58)),0,N58/(N58+O58))</f>
        <v>0.41176470588235298</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8110.5882352941189</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11586.554621848743</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13982.713306774</v>
      </c>
      <c r="C4" s="462">
        <f>huishoudens!C8</f>
        <v>0</v>
      </c>
      <c r="D4" s="462">
        <f>huishoudens!D8</f>
        <v>41056.232912648033</v>
      </c>
      <c r="E4" s="462">
        <f>huishoudens!E8</f>
        <v>657.79896899588107</v>
      </c>
      <c r="F4" s="462">
        <f>huishoudens!F8</f>
        <v>4463.1341986100824</v>
      </c>
      <c r="G4" s="462">
        <f>huishoudens!G8</f>
        <v>0</v>
      </c>
      <c r="H4" s="462">
        <f>huishoudens!H8</f>
        <v>0</v>
      </c>
      <c r="I4" s="462">
        <f>huishoudens!I8</f>
        <v>0</v>
      </c>
      <c r="J4" s="462">
        <f>huishoudens!J8</f>
        <v>0</v>
      </c>
      <c r="K4" s="462">
        <f>huishoudens!K8</f>
        <v>0</v>
      </c>
      <c r="L4" s="462">
        <f>huishoudens!L8</f>
        <v>0</v>
      </c>
      <c r="M4" s="462">
        <f>huishoudens!M8</f>
        <v>0</v>
      </c>
      <c r="N4" s="462">
        <f>huishoudens!N8</f>
        <v>8725.9896768415292</v>
      </c>
      <c r="O4" s="462">
        <f>huishoudens!O8</f>
        <v>73.476666666666674</v>
      </c>
      <c r="P4" s="463">
        <f>huishoudens!P8</f>
        <v>133.46666666666667</v>
      </c>
      <c r="Q4" s="464">
        <f>SUM(B4:P4)</f>
        <v>69092.812397202855</v>
      </c>
    </row>
    <row r="5" spans="1:17">
      <c r="A5" s="461" t="s">
        <v>156</v>
      </c>
      <c r="B5" s="462">
        <f ca="1">tertiair!B16</f>
        <v>5429.2668652852171</v>
      </c>
      <c r="C5" s="462">
        <f ca="1">tertiair!C16</f>
        <v>0</v>
      </c>
      <c r="D5" s="462">
        <f ca="1">tertiair!D16</f>
        <v>9027.2250789721802</v>
      </c>
      <c r="E5" s="462">
        <f>tertiair!E16</f>
        <v>78.762167605539105</v>
      </c>
      <c r="F5" s="462">
        <f ca="1">tertiair!F16</f>
        <v>1148.669627539984</v>
      </c>
      <c r="G5" s="462">
        <f>tertiair!G16</f>
        <v>0</v>
      </c>
      <c r="H5" s="462">
        <f>tertiair!H16</f>
        <v>0</v>
      </c>
      <c r="I5" s="462">
        <f>tertiair!I16</f>
        <v>0</v>
      </c>
      <c r="J5" s="462">
        <f>tertiair!J16</f>
        <v>0</v>
      </c>
      <c r="K5" s="462">
        <f>tertiair!K16</f>
        <v>0</v>
      </c>
      <c r="L5" s="462">
        <f ca="1">tertiair!L16</f>
        <v>0</v>
      </c>
      <c r="M5" s="462">
        <f>tertiair!M16</f>
        <v>0</v>
      </c>
      <c r="N5" s="462">
        <f ca="1">tertiair!N16</f>
        <v>662.95136671388957</v>
      </c>
      <c r="O5" s="462">
        <f>tertiair!O16</f>
        <v>0</v>
      </c>
      <c r="P5" s="463">
        <f>tertiair!P16</f>
        <v>0</v>
      </c>
      <c r="Q5" s="461">
        <f t="shared" ref="Q5:Q14" ca="1" si="0">SUM(B5:P5)</f>
        <v>16346.87510611681</v>
      </c>
    </row>
    <row r="6" spans="1:17">
      <c r="A6" s="461" t="s">
        <v>194</v>
      </c>
      <c r="B6" s="462">
        <f>'openbare verlichting'!B8</f>
        <v>553.827</v>
      </c>
      <c r="C6" s="462"/>
      <c r="D6" s="462"/>
      <c r="E6" s="462"/>
      <c r="F6" s="462"/>
      <c r="G6" s="462"/>
      <c r="H6" s="462"/>
      <c r="I6" s="462"/>
      <c r="J6" s="462"/>
      <c r="K6" s="462"/>
      <c r="L6" s="462"/>
      <c r="M6" s="462"/>
      <c r="N6" s="462"/>
      <c r="O6" s="462"/>
      <c r="P6" s="463"/>
      <c r="Q6" s="461">
        <f t="shared" si="0"/>
        <v>553.827</v>
      </c>
    </row>
    <row r="7" spans="1:17">
      <c r="A7" s="461" t="s">
        <v>112</v>
      </c>
      <c r="B7" s="462">
        <f>landbouw!B8</f>
        <v>401.83395071078161</v>
      </c>
      <c r="C7" s="462">
        <f>landbouw!C8</f>
        <v>9848.5714285714294</v>
      </c>
      <c r="D7" s="462">
        <f>landbouw!D8</f>
        <v>1045.4187988842059</v>
      </c>
      <c r="E7" s="462">
        <f>landbouw!E8</f>
        <v>5.0636254463367942</v>
      </c>
      <c r="F7" s="462">
        <f>landbouw!F8</f>
        <v>1386.4277953718549</v>
      </c>
      <c r="G7" s="462">
        <f>landbouw!G8</f>
        <v>0</v>
      </c>
      <c r="H7" s="462">
        <f>landbouw!H8</f>
        <v>0</v>
      </c>
      <c r="I7" s="462">
        <f>landbouw!I8</f>
        <v>0</v>
      </c>
      <c r="J7" s="462">
        <f>landbouw!J8</f>
        <v>60.431258299765616</v>
      </c>
      <c r="K7" s="462">
        <f>landbouw!K8</f>
        <v>0</v>
      </c>
      <c r="L7" s="462">
        <f>landbouw!L8</f>
        <v>0</v>
      </c>
      <c r="M7" s="462">
        <f>landbouw!M8</f>
        <v>0</v>
      </c>
      <c r="N7" s="462">
        <f>landbouw!N8</f>
        <v>0</v>
      </c>
      <c r="O7" s="462">
        <f>landbouw!O8</f>
        <v>0</v>
      </c>
      <c r="P7" s="463">
        <f>landbouw!P8</f>
        <v>0</v>
      </c>
      <c r="Q7" s="461">
        <f t="shared" si="0"/>
        <v>12747.746857284375</v>
      </c>
    </row>
    <row r="8" spans="1:17">
      <c r="A8" s="461" t="s">
        <v>657</v>
      </c>
      <c r="B8" s="462">
        <f>industrie!B18</f>
        <v>1584.0549695174204</v>
      </c>
      <c r="C8" s="462">
        <f>industrie!C18</f>
        <v>0</v>
      </c>
      <c r="D8" s="462">
        <f>industrie!D18</f>
        <v>1409.6484598360439</v>
      </c>
      <c r="E8" s="462">
        <f>industrie!E18</f>
        <v>187.89642203798999</v>
      </c>
      <c r="F8" s="462">
        <f>industrie!F18</f>
        <v>862.04874606673297</v>
      </c>
      <c r="G8" s="462">
        <f>industrie!G18</f>
        <v>0</v>
      </c>
      <c r="H8" s="462">
        <f>industrie!H18</f>
        <v>0</v>
      </c>
      <c r="I8" s="462">
        <f>industrie!I18</f>
        <v>0</v>
      </c>
      <c r="J8" s="462">
        <f>industrie!J18</f>
        <v>2.3083688783240186</v>
      </c>
      <c r="K8" s="462">
        <f>industrie!K18</f>
        <v>0</v>
      </c>
      <c r="L8" s="462">
        <f>industrie!L18</f>
        <v>0</v>
      </c>
      <c r="M8" s="462">
        <f>industrie!M18</f>
        <v>0</v>
      </c>
      <c r="N8" s="462">
        <f>industrie!N18</f>
        <v>389.50342344786526</v>
      </c>
      <c r="O8" s="462">
        <f>industrie!O18</f>
        <v>0</v>
      </c>
      <c r="P8" s="463">
        <f>industrie!P18</f>
        <v>0</v>
      </c>
      <c r="Q8" s="461">
        <f t="shared" si="0"/>
        <v>4435.4603897843763</v>
      </c>
    </row>
    <row r="9" spans="1:17" s="467" customFormat="1">
      <c r="A9" s="465" t="s">
        <v>574</v>
      </c>
      <c r="B9" s="466">
        <f>transport!B14</f>
        <v>3.4148747587892521</v>
      </c>
      <c r="C9" s="466">
        <f>transport!C14</f>
        <v>0</v>
      </c>
      <c r="D9" s="466">
        <f>transport!D14</f>
        <v>5.7294824954990435</v>
      </c>
      <c r="E9" s="466">
        <f>transport!E14</f>
        <v>174.89590821440675</v>
      </c>
      <c r="F9" s="466">
        <f>transport!F14</f>
        <v>0</v>
      </c>
      <c r="G9" s="466">
        <f>transport!G14</f>
        <v>39377.3137819369</v>
      </c>
      <c r="H9" s="466">
        <f>transport!H14</f>
        <v>8560.9224041272628</v>
      </c>
      <c r="I9" s="466">
        <f>transport!I14</f>
        <v>0</v>
      </c>
      <c r="J9" s="466">
        <f>transport!J14</f>
        <v>0</v>
      </c>
      <c r="K9" s="466">
        <f>transport!K14</f>
        <v>0</v>
      </c>
      <c r="L9" s="466">
        <f>transport!L14</f>
        <v>0</v>
      </c>
      <c r="M9" s="466">
        <f>transport!M14</f>
        <v>2167.8938755261811</v>
      </c>
      <c r="N9" s="466">
        <f>transport!N14</f>
        <v>0</v>
      </c>
      <c r="O9" s="466">
        <f>transport!O14</f>
        <v>0</v>
      </c>
      <c r="P9" s="466">
        <f>transport!P14</f>
        <v>0</v>
      </c>
      <c r="Q9" s="465">
        <f>SUM(B9:P9)</f>
        <v>50290.170327059044</v>
      </c>
    </row>
    <row r="10" spans="1:17">
      <c r="A10" s="461" t="s">
        <v>564</v>
      </c>
      <c r="B10" s="462">
        <f>transport!B54</f>
        <v>0</v>
      </c>
      <c r="C10" s="462">
        <f>transport!C54</f>
        <v>0</v>
      </c>
      <c r="D10" s="462">
        <f>transport!D54</f>
        <v>0</v>
      </c>
      <c r="E10" s="462">
        <f>transport!E54</f>
        <v>0</v>
      </c>
      <c r="F10" s="462">
        <f>transport!F54</f>
        <v>0</v>
      </c>
      <c r="G10" s="462">
        <f>transport!G54</f>
        <v>362.49539819453662</v>
      </c>
      <c r="H10" s="462">
        <f>transport!H54</f>
        <v>0</v>
      </c>
      <c r="I10" s="462">
        <f>transport!I54</f>
        <v>0</v>
      </c>
      <c r="J10" s="462">
        <f>transport!J54</f>
        <v>0</v>
      </c>
      <c r="K10" s="462">
        <f>transport!K54</f>
        <v>0</v>
      </c>
      <c r="L10" s="462">
        <f>transport!L54</f>
        <v>0</v>
      </c>
      <c r="M10" s="462">
        <f>transport!M54</f>
        <v>16.121056991142577</v>
      </c>
      <c r="N10" s="462">
        <f>transport!N54</f>
        <v>0</v>
      </c>
      <c r="O10" s="462">
        <f>transport!O54</f>
        <v>0</v>
      </c>
      <c r="P10" s="463">
        <f>transport!P54</f>
        <v>0</v>
      </c>
      <c r="Q10" s="461">
        <f t="shared" si="0"/>
        <v>378.61645518567917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406.08927398538799</v>
      </c>
      <c r="C14" s="469"/>
      <c r="D14" s="469">
        <f>'SEAP template'!E25</f>
        <v>1500.73561566952</v>
      </c>
      <c r="E14" s="469"/>
      <c r="F14" s="469"/>
      <c r="G14" s="469"/>
      <c r="H14" s="469"/>
      <c r="I14" s="469"/>
      <c r="J14" s="469"/>
      <c r="K14" s="469"/>
      <c r="L14" s="469"/>
      <c r="M14" s="469"/>
      <c r="N14" s="469"/>
      <c r="O14" s="469"/>
      <c r="P14" s="470"/>
      <c r="Q14" s="461">
        <f t="shared" si="0"/>
        <v>1906.824889654908</v>
      </c>
    </row>
    <row r="15" spans="1:17" s="474" customFormat="1">
      <c r="A15" s="471" t="s">
        <v>568</v>
      </c>
      <c r="B15" s="472">
        <f ca="1">SUM(B4:B14)</f>
        <v>22361.200241031594</v>
      </c>
      <c r="C15" s="472">
        <f t="shared" ref="C15:Q15" ca="1" si="1">SUM(C4:C14)</f>
        <v>9848.5714285714294</v>
      </c>
      <c r="D15" s="472">
        <f t="shared" ca="1" si="1"/>
        <v>54044.990348505482</v>
      </c>
      <c r="E15" s="472">
        <f t="shared" si="1"/>
        <v>1104.4170923001539</v>
      </c>
      <c r="F15" s="472">
        <f t="shared" ca="1" si="1"/>
        <v>7860.2803675886535</v>
      </c>
      <c r="G15" s="472">
        <f t="shared" si="1"/>
        <v>39739.809180131437</v>
      </c>
      <c r="H15" s="472">
        <f t="shared" si="1"/>
        <v>8560.9224041272628</v>
      </c>
      <c r="I15" s="472">
        <f t="shared" si="1"/>
        <v>0</v>
      </c>
      <c r="J15" s="472">
        <f t="shared" si="1"/>
        <v>62.739627178089634</v>
      </c>
      <c r="K15" s="472">
        <f t="shared" si="1"/>
        <v>0</v>
      </c>
      <c r="L15" s="472">
        <f t="shared" ca="1" si="1"/>
        <v>0</v>
      </c>
      <c r="M15" s="472">
        <f t="shared" si="1"/>
        <v>2184.0149325173238</v>
      </c>
      <c r="N15" s="472">
        <f t="shared" ca="1" si="1"/>
        <v>9778.4444670032826</v>
      </c>
      <c r="O15" s="472">
        <f t="shared" si="1"/>
        <v>73.476666666666674</v>
      </c>
      <c r="P15" s="472">
        <f t="shared" si="1"/>
        <v>133.46666666666667</v>
      </c>
      <c r="Q15" s="472">
        <f t="shared" ca="1" si="1"/>
        <v>155752.33342228807</v>
      </c>
    </row>
    <row r="17" spans="1:17">
      <c r="A17" s="475" t="s">
        <v>569</v>
      </c>
      <c r="B17" s="781">
        <f ca="1">huishoudens!B10</f>
        <v>0.20504837098967221</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2867.1325855696214</v>
      </c>
      <c r="C22" s="462">
        <f t="shared" ref="C22:C32" ca="1" si="3">C4*$C$17</f>
        <v>0</v>
      </c>
      <c r="D22" s="462">
        <f t="shared" ref="D22:D32" si="4">D4*$D$17</f>
        <v>8293.3590483549033</v>
      </c>
      <c r="E22" s="462">
        <f t="shared" ref="E22:E32" si="5">E4*$E$17</f>
        <v>149.32036596206501</v>
      </c>
      <c r="F22" s="462">
        <f t="shared" ref="F22:F32" si="6">F4*$F$17</f>
        <v>1191.6568310288922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12501.468830915481</v>
      </c>
    </row>
    <row r="23" spans="1:17">
      <c r="A23" s="461" t="s">
        <v>156</v>
      </c>
      <c r="B23" s="462">
        <f t="shared" ca="1" si="2"/>
        <v>1113.2623263949379</v>
      </c>
      <c r="C23" s="462">
        <f t="shared" ca="1" si="3"/>
        <v>0</v>
      </c>
      <c r="D23" s="462">
        <f t="shared" ca="1" si="4"/>
        <v>1823.4994659523804</v>
      </c>
      <c r="E23" s="462">
        <f t="shared" si="5"/>
        <v>17.879012046457376</v>
      </c>
      <c r="F23" s="462">
        <f t="shared" ca="1" si="6"/>
        <v>306.69479055317578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3261.335594946951</v>
      </c>
    </row>
    <row r="24" spans="1:17">
      <c r="A24" s="461" t="s">
        <v>194</v>
      </c>
      <c r="B24" s="462">
        <f t="shared" ca="1" si="2"/>
        <v>113.56132416009719</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113.56132416009719</v>
      </c>
    </row>
    <row r="25" spans="1:17">
      <c r="A25" s="461" t="s">
        <v>112</v>
      </c>
      <c r="B25" s="462">
        <f t="shared" ca="1" si="2"/>
        <v>82.395397001589998</v>
      </c>
      <c r="C25" s="462">
        <f t="shared" ca="1" si="3"/>
        <v>2340.4840336134462</v>
      </c>
      <c r="D25" s="462">
        <f t="shared" si="4"/>
        <v>211.17459737460962</v>
      </c>
      <c r="E25" s="462">
        <f t="shared" si="5"/>
        <v>1.1494429763184524</v>
      </c>
      <c r="F25" s="462">
        <f t="shared" si="6"/>
        <v>370.17622136428531</v>
      </c>
      <c r="G25" s="462">
        <f t="shared" si="7"/>
        <v>0</v>
      </c>
      <c r="H25" s="462">
        <f t="shared" si="8"/>
        <v>0</v>
      </c>
      <c r="I25" s="462">
        <f t="shared" si="9"/>
        <v>0</v>
      </c>
      <c r="J25" s="462">
        <f t="shared" si="10"/>
        <v>21.392665438117028</v>
      </c>
      <c r="K25" s="462">
        <f t="shared" si="11"/>
        <v>0</v>
      </c>
      <c r="L25" s="462">
        <f t="shared" si="12"/>
        <v>0</v>
      </c>
      <c r="M25" s="462">
        <f t="shared" si="13"/>
        <v>0</v>
      </c>
      <c r="N25" s="462">
        <f t="shared" si="14"/>
        <v>0</v>
      </c>
      <c r="O25" s="462">
        <f t="shared" si="15"/>
        <v>0</v>
      </c>
      <c r="P25" s="463">
        <f t="shared" si="16"/>
        <v>0</v>
      </c>
      <c r="Q25" s="461">
        <f t="shared" ca="1" si="17"/>
        <v>3026.7723577683669</v>
      </c>
    </row>
    <row r="26" spans="1:17">
      <c r="A26" s="461" t="s">
        <v>657</v>
      </c>
      <c r="B26" s="462">
        <f t="shared" ca="1" si="2"/>
        <v>324.80789105764194</v>
      </c>
      <c r="C26" s="462">
        <f t="shared" ca="1" si="3"/>
        <v>0</v>
      </c>
      <c r="D26" s="462">
        <f t="shared" si="4"/>
        <v>284.74898888688091</v>
      </c>
      <c r="E26" s="462">
        <f t="shared" si="5"/>
        <v>42.652487802623732</v>
      </c>
      <c r="F26" s="462">
        <f t="shared" si="6"/>
        <v>230.16701519981771</v>
      </c>
      <c r="G26" s="462">
        <f t="shared" si="7"/>
        <v>0</v>
      </c>
      <c r="H26" s="462">
        <f t="shared" si="8"/>
        <v>0</v>
      </c>
      <c r="I26" s="462">
        <f t="shared" si="9"/>
        <v>0</v>
      </c>
      <c r="J26" s="462">
        <f t="shared" si="10"/>
        <v>0.81716258292670252</v>
      </c>
      <c r="K26" s="462">
        <f t="shared" si="11"/>
        <v>0</v>
      </c>
      <c r="L26" s="462">
        <f t="shared" si="12"/>
        <v>0</v>
      </c>
      <c r="M26" s="462">
        <f t="shared" si="13"/>
        <v>0</v>
      </c>
      <c r="N26" s="462">
        <f t="shared" si="14"/>
        <v>0</v>
      </c>
      <c r="O26" s="462">
        <f t="shared" si="15"/>
        <v>0</v>
      </c>
      <c r="P26" s="463">
        <f t="shared" si="16"/>
        <v>0</v>
      </c>
      <c r="Q26" s="461">
        <f t="shared" ca="1" si="17"/>
        <v>883.19354552989091</v>
      </c>
    </row>
    <row r="27" spans="1:17" s="467" customFormat="1">
      <c r="A27" s="465" t="s">
        <v>574</v>
      </c>
      <c r="B27" s="775">
        <f t="shared" ca="1" si="2"/>
        <v>0.70021450642348593</v>
      </c>
      <c r="C27" s="466">
        <f t="shared" ca="1" si="3"/>
        <v>0</v>
      </c>
      <c r="D27" s="466">
        <f t="shared" si="4"/>
        <v>1.1573554640908068</v>
      </c>
      <c r="E27" s="466">
        <f t="shared" si="5"/>
        <v>39.701371164670334</v>
      </c>
      <c r="F27" s="466">
        <f t="shared" si="6"/>
        <v>0</v>
      </c>
      <c r="G27" s="466">
        <f t="shared" si="7"/>
        <v>10513.742779777152</v>
      </c>
      <c r="H27" s="466">
        <f t="shared" si="8"/>
        <v>2131.6696786276884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12686.971399540025</v>
      </c>
    </row>
    <row r="28" spans="1:17">
      <c r="A28" s="461" t="s">
        <v>564</v>
      </c>
      <c r="B28" s="462">
        <f t="shared" ca="1" si="2"/>
        <v>0</v>
      </c>
      <c r="C28" s="462">
        <f t="shared" ca="1" si="3"/>
        <v>0</v>
      </c>
      <c r="D28" s="462">
        <f t="shared" si="4"/>
        <v>0</v>
      </c>
      <c r="E28" s="462">
        <f t="shared" si="5"/>
        <v>0</v>
      </c>
      <c r="F28" s="462">
        <f t="shared" si="6"/>
        <v>0</v>
      </c>
      <c r="G28" s="462">
        <f t="shared" si="7"/>
        <v>96.786271317941285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96.786271317941285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83.267944107082485</v>
      </c>
      <c r="C32" s="462">
        <f t="shared" ca="1" si="3"/>
        <v>0</v>
      </c>
      <c r="D32" s="462">
        <f t="shared" si="4"/>
        <v>303.14859436524307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386.41653847232556</v>
      </c>
    </row>
    <row r="33" spans="1:17" s="474" customFormat="1">
      <c r="A33" s="471" t="s">
        <v>568</v>
      </c>
      <c r="B33" s="472">
        <f ca="1">SUM(B22:B32)</f>
        <v>4585.1276827973943</v>
      </c>
      <c r="C33" s="472">
        <f t="shared" ref="C33:Q33" ca="1" si="18">SUM(C22:C32)</f>
        <v>2340.4840336134462</v>
      </c>
      <c r="D33" s="472">
        <f t="shared" ca="1" si="18"/>
        <v>10917.088050398106</v>
      </c>
      <c r="E33" s="472">
        <f t="shared" si="18"/>
        <v>250.70267995213493</v>
      </c>
      <c r="F33" s="472">
        <f t="shared" ca="1" si="18"/>
        <v>2098.6948581461711</v>
      </c>
      <c r="G33" s="472">
        <f t="shared" si="18"/>
        <v>10610.529051095094</v>
      </c>
      <c r="H33" s="472">
        <f t="shared" si="18"/>
        <v>2131.6696786276884</v>
      </c>
      <c r="I33" s="472">
        <f t="shared" si="18"/>
        <v>0</v>
      </c>
      <c r="J33" s="472">
        <f t="shared" si="18"/>
        <v>22.20982802104373</v>
      </c>
      <c r="K33" s="472">
        <f t="shared" si="18"/>
        <v>0</v>
      </c>
      <c r="L33" s="472">
        <f t="shared" ca="1" si="18"/>
        <v>0</v>
      </c>
      <c r="M33" s="472">
        <f t="shared" si="18"/>
        <v>0</v>
      </c>
      <c r="N33" s="472">
        <f t="shared" ca="1" si="18"/>
        <v>0</v>
      </c>
      <c r="O33" s="472">
        <f t="shared" si="18"/>
        <v>0</v>
      </c>
      <c r="P33" s="472">
        <f t="shared" si="18"/>
        <v>0</v>
      </c>
      <c r="Q33" s="472">
        <f t="shared" ca="1" si="18"/>
        <v>32956.50586265108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2133.3139999999999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6894</v>
      </c>
      <c r="D8" s="1047">
        <f>'SEAP template'!D76</f>
        <v>8110.5882352941189</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1638.3388235294121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2133.3139999999999</v>
      </c>
      <c r="C10" s="1051">
        <f>SUM(C4:C9)</f>
        <v>6894</v>
      </c>
      <c r="D10" s="1051">
        <f t="shared" ref="D10:H10" si="0">SUM(D8:D9)</f>
        <v>8110.5882352941189</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1638.3388235294121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0.20504837098967221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9848.5714285714294</v>
      </c>
      <c r="D17" s="1048">
        <f>'SEAP template'!D87</f>
        <v>11586.554621848743</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2340.4840336134462</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9848.5714285714294</v>
      </c>
      <c r="D20" s="1051">
        <f t="shared" ref="D20:H20" si="2">SUM(D17:D19)</f>
        <v>11586.554621848743</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2340.4840336134462</v>
      </c>
    </row>
    <row r="22" spans="1:16">
      <c r="A22" s="475" t="s">
        <v>895</v>
      </c>
      <c r="B22" s="781" t="s">
        <v>889</v>
      </c>
      <c r="C22" s="781">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0.20504837098967221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2019-08-12T08:01:03Z</dcterms:modified>
</cp:coreProperties>
</file>