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I102" l="1"/>
  <c r="H17" s="1"/>
  <c r="H20" s="1"/>
  <c r="B102"/>
  <c r="C17" s="1"/>
  <c r="C102"/>
  <c r="F102"/>
  <c r="G102"/>
  <c r="I101"/>
  <c r="H8" s="1"/>
  <c r="H10" s="1"/>
  <c r="G101"/>
  <c r="H101"/>
  <c r="J8" s="1"/>
  <c r="J10" s="1"/>
  <c r="B101"/>
  <c r="C8" s="1"/>
  <c r="C101"/>
  <c r="D101"/>
  <c r="F101"/>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D14" i="48"/>
  <c r="Q52" i="14"/>
  <c r="G10" i="59"/>
  <c r="P28" i="48"/>
  <c r="Q11"/>
  <c r="O28"/>
  <c r="K78" i="14"/>
  <c r="K8" i="59"/>
  <c r="K10" s="1"/>
  <c r="E90" i="14"/>
  <c r="E18" i="59"/>
  <c r="L10"/>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8" i="48"/>
  <c r="H29"/>
  <c r="H26"/>
  <c r="H32"/>
  <c r="H25"/>
  <c r="H22"/>
  <c r="H30"/>
  <c r="H24"/>
  <c r="H23"/>
  <c r="D11" i="14"/>
  <c r="C4" i="48"/>
  <c r="G32"/>
  <c r="G26"/>
  <c r="G22"/>
  <c r="G30"/>
  <c r="G25"/>
  <c r="G29"/>
  <c r="G24"/>
  <c r="G23"/>
  <c r="C11" i="14"/>
  <c r="B4" i="48"/>
  <c r="F29"/>
  <c r="F32"/>
  <c r="F31"/>
  <c r="F27"/>
  <c r="F24"/>
  <c r="F28"/>
  <c r="F30"/>
  <c r="N32"/>
  <c r="N31"/>
  <c r="N29"/>
  <c r="N27"/>
  <c r="N28"/>
  <c r="N30"/>
  <c r="N24"/>
  <c r="B10"/>
  <c r="C19" i="14"/>
  <c r="E32" i="48"/>
  <c r="E31"/>
  <c r="E29"/>
  <c r="E30"/>
  <c r="E28"/>
  <c r="E24"/>
  <c r="M32"/>
  <c r="M29"/>
  <c r="M26"/>
  <c r="M25"/>
  <c r="M22"/>
  <c r="M30"/>
  <c r="M24"/>
  <c r="M23"/>
  <c r="K5"/>
  <c r="L10" i="14"/>
  <c r="L16" s="1"/>
  <c r="L27" s="1"/>
  <c r="D30" i="48"/>
  <c r="D29"/>
  <c r="D28"/>
  <c r="D31"/>
  <c r="D24"/>
  <c r="D32"/>
  <c r="L29"/>
  <c r="L32"/>
  <c r="L27"/>
  <c r="L30"/>
  <c r="L28"/>
  <c r="L24"/>
  <c r="L31"/>
  <c r="L22"/>
  <c r="Q10" i="14"/>
  <c r="P5" i="48"/>
  <c r="P23" s="1"/>
  <c r="K32"/>
  <c r="K26"/>
  <c r="K28"/>
  <c r="K22"/>
  <c r="K31"/>
  <c r="K30"/>
  <c r="K29"/>
  <c r="K25"/>
  <c r="K24"/>
  <c r="K27"/>
  <c r="C24" i="14"/>
  <c r="C26" s="1"/>
  <c r="B7" i="48"/>
  <c r="J32"/>
  <c r="J29"/>
  <c r="J24"/>
  <c r="J31"/>
  <c r="J30"/>
  <c r="J28"/>
  <c r="J27"/>
  <c r="Q11" i="14"/>
  <c r="P4" i="48"/>
  <c r="O4"/>
  <c r="P11" i="14"/>
  <c r="I28" i="48"/>
  <c r="I32"/>
  <c r="I27"/>
  <c r="I29"/>
  <c r="I31"/>
  <c r="I26"/>
  <c r="I22"/>
  <c r="I30"/>
  <c r="I24"/>
  <c r="I25"/>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K15" i="48"/>
  <c r="K23"/>
  <c r="K33" s="1"/>
  <c r="F4"/>
  <c r="F22" s="1"/>
  <c r="G11" i="14"/>
  <c r="K24"/>
  <c r="K26" s="1"/>
  <c r="J7" i="48"/>
  <c r="J25" s="1"/>
  <c r="I5"/>
  <c r="J10" i="14"/>
  <c r="J16" s="1"/>
  <c r="J27" s="1"/>
  <c r="M12" i="22"/>
  <c r="M13" i="48"/>
  <c r="M31" s="1"/>
  <c r="N18" i="14"/>
  <c r="G13" i="48"/>
  <c r="H18" i="14"/>
  <c r="H13" i="48"/>
  <c r="H31" s="1"/>
  <c r="I18" i="14"/>
  <c r="F20"/>
  <c r="F22" s="1"/>
  <c r="E9" i="48"/>
  <c r="P22" i="16"/>
  <c r="Q43" i="14" s="1"/>
  <c r="P8" i="48"/>
  <c r="P26" s="1"/>
  <c r="Q13" i="14"/>
  <c r="P22" i="48"/>
  <c r="E20" i="14"/>
  <c r="E22" s="1"/>
  <c r="D9" i="48"/>
  <c r="D27" s="1"/>
  <c r="O22"/>
  <c r="Q16" i="14"/>
  <c r="Q27" s="1"/>
  <c r="L63"/>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I23" i="48"/>
  <c r="I33" s="1"/>
  <c r="I15"/>
  <c r="N4"/>
  <c r="N22" s="1"/>
  <c r="O11" i="14"/>
  <c r="K11"/>
  <c r="J4" i="48"/>
  <c r="E27"/>
  <c r="O8"/>
  <c r="P13" i="14"/>
  <c r="P16" s="1"/>
  <c r="P27" s="1"/>
  <c r="G31" i="48"/>
  <c r="Q13"/>
  <c r="N19" i="14"/>
  <c r="M10" i="48"/>
  <c r="M28" s="1"/>
  <c r="E7"/>
  <c r="E25" s="1"/>
  <c r="F24" i="14"/>
  <c r="F26" s="1"/>
  <c r="H19"/>
  <c r="G10" i="48"/>
  <c r="J63" i="14"/>
  <c r="M14" i="22"/>
  <c r="G14"/>
  <c r="Q63" i="14"/>
  <c r="P15" i="48"/>
  <c r="R18" i="14"/>
  <c r="C22"/>
  <c r="P46"/>
  <c r="P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J5" i="48" l="1"/>
  <c r="J23" s="1"/>
  <c r="K10" i="14"/>
  <c r="G28" i="48"/>
  <c r="Q10"/>
  <c r="J22"/>
  <c r="H9"/>
  <c r="I20" i="14"/>
  <c r="I22" s="1"/>
  <c r="I27" s="1"/>
  <c r="E22" i="48"/>
  <c r="Q4"/>
  <c r="E20" i="15"/>
  <c r="F40" i="14" s="1"/>
  <c r="F10"/>
  <c r="E5" i="48"/>
  <c r="E23" s="1"/>
  <c r="N20" i="14"/>
  <c r="N22" s="1"/>
  <c r="N27" s="1"/>
  <c r="N63" s="1"/>
  <c r="M9" i="48"/>
  <c r="H20" i="14"/>
  <c r="G9" i="48"/>
  <c r="O26"/>
  <c r="O33" s="1"/>
  <c r="O15"/>
  <c r="E61" i="14"/>
  <c r="J20" i="15"/>
  <c r="K40" i="14" s="1"/>
  <c r="P63"/>
  <c r="R11"/>
  <c r="R19"/>
  <c r="M61"/>
  <c r="M27"/>
  <c r="E16"/>
  <c r="E27" s="1"/>
  <c r="E63"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13"/>
  <c r="J8" i="48"/>
  <c r="H27"/>
  <c r="H33" s="1"/>
  <c r="H15"/>
  <c r="M27"/>
  <c r="M33" s="1"/>
  <c r="M15"/>
  <c r="H22" i="14"/>
  <c r="H27" s="1"/>
  <c r="H63" s="1"/>
  <c r="R20"/>
  <c r="R22" s="1"/>
  <c r="G27" i="48"/>
  <c r="G33" s="1"/>
  <c r="G15"/>
  <c r="Q9"/>
  <c r="E8"/>
  <c r="E26" s="1"/>
  <c r="F13" i="14"/>
  <c r="F16" s="1"/>
  <c r="F27" s="1"/>
  <c r="F63" s="1"/>
  <c r="K46"/>
  <c r="K61" s="1"/>
  <c r="Q5" i="48"/>
  <c r="E33"/>
  <c r="R10" i="14"/>
  <c r="E15" i="48"/>
  <c r="K16" i="14"/>
  <c r="K27"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<sst xmlns="http://schemas.openxmlformats.org/spreadsheetml/2006/main" count="2504" uniqueCount="943">
  <si>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</si>
  <si>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</si>
  <si>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</si>
  <si>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</si>
  <si>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</si>
  <si>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</si>
  <si>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</si>
  <si>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</si>
  <si>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</si>
  <si>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</si>
  <si>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</si>
  <si>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</si>
  <si>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</si>
  <si>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</si>
  <si>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</si>
  <si>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</si>
  <si>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</si>
  <si>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</si>
  <si>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</si>
  <si>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</si>
  <si>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</si>
  <si>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</si>
  <si>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</si>
  <si>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</si>
  <si>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</si>
  <si>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</si>
  <si>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</si>
  <si>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</si>
  <si>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</si>
  <si>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</si>
  <si>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</si>
  <si>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</si>
  <si>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</si>
  <si>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</si>
  <si>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</si>
  <si>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</si>
  <si>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</si>
  <si>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</si>
  <si>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</si>
  <si>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</si>
  <si>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</si>
  <si>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</si>
  <si>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</si>
  <si>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</si>
  <si>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</si>
  <si>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</si>
  <si>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</si>
  <si>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</si>
  <si>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</si>
  <si>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</si>
  <si>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</si>
  <si>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</si>
  <si>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</si>
  <si>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</si>
  <si>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</si>
  <si>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</si>
  <si>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</si>
  <si>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</si>
  <si>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</si>
  <si>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</si>
  <si>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</si>
  <si>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</si>
  <si>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</si>
  <si>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</si>
  <si>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</si>
  <si>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</si>
  <si>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</si>
  <si>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</si>
  <si>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</si>
  <si>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</si>
  <si>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</si>
  <si>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</si>
  <si>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</si>
  <si>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</si>
  <si>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</si>
  <si>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</si>
  <si>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</si>
  <si>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</si>
  <si>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</si>
  <si>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</si>
  <si>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</si>
  <si>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</si>
  <si>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</si>
  <si>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</si>
  <si>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</si>
  <si>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</si>
  <si>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</si>
  <si>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</si>
  <si>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</si>
  <si>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</si>
  <si>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</si>
  <si>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</si>
  <si>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</si>
  <si>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</si>
  <si>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</si>
  <si>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</si>
  <si>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</si>
  <si>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</si>
  <si>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</si>
  <si>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</si>
  <si>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</si>
  <si>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</si>
  <si>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</si>
  <si>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</si>
  <si>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</si>
  <si>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</si>
  <si>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</si>
  <si>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</si>
  <si>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</si>
  <si>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</si>
  <si>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</si>
  <si>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</si>
  <si>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</si>
  <si>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</si>
  <si>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</si>
  <si>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</si>
  <si>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</si>
  <si>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</si>
  <si>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</si>
  <si>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</si>
  <si>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</si>
  <si>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</si>
  <si>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</si>
  <si>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</si>
  <si>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</si>
  <si>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</si>
  <si>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</si>
  <si>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</si>
  <si>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</si>
  <si>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</si>
  <si>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</si>
  <si>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</si>
  <si>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</si>
  <si>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</si>
  <si>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</si>
  <si>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</si>
  <si>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</si>
  <si>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</si>
  <si>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</si>
  <si>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</si>
  <si>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</si>
  <si>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</si>
  <si>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</si>
  <si>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</si>
  <si>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</si>
  <si>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</si>
  <si>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</si>
  <si>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</si>
  <si>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</si>
  <si>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</si>
  <si>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</si>
  <si>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</si>
  <si>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</si>
  <si>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</si>
  <si>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</si>
  <si>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</si>
  <si>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</si>
  <si>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</si>
  <si>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</si>
  <si>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</si>
  <si>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</si>
  <si>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</si>
  <si>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</si>
  <si>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</si>
  <si>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</si>
  <si>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</si>
  <si>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</si>
  <si>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</si>
  <si>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</si>
  <si>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</si>
  <si>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</si>
  <si>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</si>
  <si>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</si>
  <si>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</si>
  <si>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</si>
  <si>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</si>
  <si>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</si>
  <si>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</si>
  <si>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</si>
  <si>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</si>
  <si>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</si>
  <si>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</si>
  <si>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</si>
  <si>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</si>
  <si>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</si>
  <si>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</si>
  <si>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</si>
  <si>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</si>
  <si>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</si>
  <si>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</si>
  <si>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</si>
  <si>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</si>
  <si>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</si>
  <si>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</si>
  <si>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</si>
  <si>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</si>
  <si>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</si>
  <si>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</si>
  <si>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</si>
  <si>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</si>
  <si>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</si>
  <si>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</si>
  <si>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</si>
  <si>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</si>
  <si>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</si>
  <si>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</si>
  <si>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</si>
  <si>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</si>
  <si>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</si>
  <si>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</si>
  <si>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</si>
  <si>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</si>
  <si>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</si>
  <si>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</si>
  <si>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</si>
  <si>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</si>
  <si>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</si>
  <si>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</si>
  <si>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</si>
  <si>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</si>
  <si>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</si>
  <si>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</si>
  <si>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</si>
  <si>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</si>
  <si>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</si>
  <si>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</si>
  <si>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</si>
  <si>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</si>
  <si>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</si>
  <si>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</si>
  <si>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</si>
  <si>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</si>
  <si>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</si>
  <si>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</si>
  <si>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</si>
  <si>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</si>
  <si>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</si>
  <si>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</si>
  <si>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</si>
  <si>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</si>
  <si>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</si>
  <si>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</si>
  <si>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</si>
  <si>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</si>
  <si>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</si>
  <si>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</si>
  <si>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</si>
  <si>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</si>
  <si>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</si>
  <si>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</si>
  <si>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</si>
  <si>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</si>
  <si>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</si>
  <si>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</si>
  <si>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</si>
  <si>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</si>
  <si>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</si>
  <si>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</si>
  <si>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</si>
  <si>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</si>
  <si>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</si>
  <si>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</si>
  <si>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</si>
  <si>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</si>
  <si>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</si>
  <si>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</si>
  <si>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</si>
  <si>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</si>
  <si>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</si>
  <si>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</si>
  <si>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</si>
  <si>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</si>
  <si>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</si>
  <si>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</si>
  <si>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</si>
  <si>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</si>
  <si>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</si>
  <si>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</si>
  <si>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</si>
  <si>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</si>
  <si>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</si>
  <si>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</si>
  <si>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</si>
  <si>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</si>
  <si>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</si>
  <si>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</si>
  <si>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</si>
  <si>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</si>
  <si>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</si>
  <si>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</si>
  <si>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</si>
  <si>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</si>
  <si>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</si>
  <si>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</si>
  <si>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</si>
  <si>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</si>
  <si>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</si>
  <si>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</si>
  <si>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</si>
  <si>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</si>
  <si>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</si>
  <si>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</si>
  <si>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</si>
  <si>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</si>
  <si>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</si>
  <si>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</si>
  <si>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</si>
  <si>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</si>
  <si>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</si>
  <si>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</si>
  <si>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</si>
  <si>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</si>
  <si>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</si>
  <si>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</si>
  <si>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</si>
  <si>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</si>
  <si>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</si>
  <si>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</si>
  <si>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</si>
  <si>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</si>
  <si>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</si>
  <si>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</si>
  <si>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</si>
  <si>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</si>
  <si>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</si>
  <si>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</si>
  <si>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</si>
  <si>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</si>
  <si>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</si>
  <si>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</si>
  <si>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</si>
  <si>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</si>
  <si>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</si>
  <si>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</si>
  <si>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</si>
  <si>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</si>
  <si>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</si>
  <si>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</si>
  <si>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</si>
  <si>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</si>
  <si>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</si>
  <si>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</si>
  <si>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</si>
  <si>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</si>
  <si>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</si>
  <si>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</si>
  <si>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</si>
  <si>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</si>
  <si>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</si>
  <si>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</si>
  <si>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</si>
  <si>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</si>
  <si>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</si>
  <si>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</si>
  <si>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</si>
  <si>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</si>
  <si>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</si>
  <si>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</si>
  <si>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</si>
  <si>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</si>
  <si>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</si>
  <si>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</si>
  <si>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</si>
  <si>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</si>
  <si>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</si>
  <si>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</si>
  <si>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</si>
  <si>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</si>
  <si>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</si>
  <si>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</si>
  <si>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</si>
  <si>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</si>
  <si>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</si>
  <si>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</si>
  <si>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</si>
  <si>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</si>
  <si>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</si>
  <si>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</si>
  <si>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</si>
  <si>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</si>
  <si>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</si>
  <si>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</si>
  <si>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</si>
  <si>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</si>
  <si>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</si>
  <si>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</si>
  <si>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</si>
  <si>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</si>
  <si>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</si>
  <si>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</si>
  <si>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</si>
  <si>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</si>
  <si>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</si>
  <si>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</si>
  <si>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</si>
  <si>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</si>
  <si>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</si>
  <si>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</si>
  <si>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</si>
  <si>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</si>
  <si>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</si>
  <si>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</si>
  <si>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</si>
  <si>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</si>
  <si>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</si>
  <si>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</si>
  <si>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</si>
  <si>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</si>
  <si>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</si>
  <si>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</si>
  <si>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</si>
  <si>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</si>
  <si>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</si>
  <si>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</si>
  <si>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</si>
  <si>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</si>
  <si>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</si>
  <si>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</si>
  <si>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</si>
  <si>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</si>
  <si>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</si>
  <si>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</si>
  <si>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</si>
  <si>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</si>
  <si>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</si>
  <si>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</si>
  <si>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</si>
  <si>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</si>
  <si>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</si>
  <si>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</si>
  <si>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</si>
  <si>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</si>
  <si>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</si>
  <si>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</si>
  <si>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</si>
  <si>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</si>
  <si>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</si>
  <si>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</si>
  <si>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</si>
  <si>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</si>
  <si>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</si>
  <si>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</si>
  <si>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</si>
  <si>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</si>
  <si>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</si>
  <si>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</si>
  <si>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</si>
  <si>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</si>
  <si>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</si>
  <si>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</si>
  <si>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</si>
  <si>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</si>
  <si>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</si>
  <si>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</si>
  <si>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</si>
  <si>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</si>
  <si>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</si>
  <si>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</si>
  <si>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</si>
  <si>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</si>
  <si>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</si>
  <si>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</si>
  <si>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</si>
  <si>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</si>
  <si>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</si>
  <si>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</si>
  <si>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</si>
  <si>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</si>
  <si>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</si>
  <si>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</si>
  <si>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</si>
  <si>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</si>
  <si>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</si>
  <si>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</si>
  <si>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</si>
  <si>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</si>
  <si>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</si>
  <si>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</si>
  <si>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</si>
  <si>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</si>
  <si>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</si>
  <si>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</si>
  <si>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</si>
  <si>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</si>
  <si>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</si>
  <si>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</si>
  <si>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</si>
  <si>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</si>
  <si>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</si>
  <si>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</si>
  <si>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</si>
  <si>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</si>
  <si>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</si>
  <si>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</si>
  <si>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</si>
  <si>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</si>
  <si>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</si>
  <si>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</si>
  <si>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</si>
  <si>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</si>
  <si>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</si>
  <si>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</si>
  <si>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</si>
  <si>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</si>
  <si>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</si>
  <si>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</si>
  <si>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</si>
  <si>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</si>
  <si>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</si>
  <si>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</si>
  <si>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</si>
  <si>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</si>
  <si>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</si>
  <si>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</si>
  <si>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</si>
  <si>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</si>
  <si>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</si>
  <si>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</si>
  <si>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</si>
  <si>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</si>
  <si>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</si>
  <si>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</si>
  <si>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</si>
  <si>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</si>
  <si>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</si>
  <si>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</si>
  <si>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</si>
  <si>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</si>
  <si>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</si>
  <si>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</si>
  <si>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</si>
  <si>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</si>
  <si>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</si>
  <si>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</si>
  <si>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</si>
  <si>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</si>
  <si>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</si>
  <si>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</si>
  <si>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</si>
  <si>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</si>
  <si>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</si>
  <si>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</si>
  <si>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</si>
  <si>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</si>
  <si>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</si>
  <si>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</si>
  <si>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</si>
  <si>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</si>
  <si>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</si>
  <si>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</si>
  <si>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</si>
  <si>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</si>
  <si>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</si>
  <si>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</si>
  <si>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</si>
  <si>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</si>
  <si>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</si>
  <si>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</si>
  <si>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</si>
  <si>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</si>
  <si>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</si>
  <si>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</si>
  <si>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</si>
  <si>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</si>
  <si>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</si>
  <si>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</si>
  <si>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</si>
  <si>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</si>
  <si>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</si>
  <si>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</si>
  <si>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</si>
  <si>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</si>
  <si>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</si>
  <si>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</si>
  <si>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</si>
  <si>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</si>
  <si>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</si>
  <si>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</si>
  <si>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</si>
  <si>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</si>
  <si>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</si>
  <si>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</si>
  <si>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</si>
  <si>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</si>
  <si>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</si>
  <si>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</si>
  <si>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</si>
  <si>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</si>
  <si>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</si>
  <si>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</si>
  <si>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</si>
  <si>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</si>
  <si>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</si>
  <si>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</si>
  <si>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</si>
  <si>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</si>
  <si>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</si>
  <si>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</si>
  <si>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</si>
  <si>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</si>
  <si>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</si>
  <si>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</si>
  <si>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</si>
  <si>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</si>
  <si>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</si>
  <si>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</si>
  <si>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</si>
  <si>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</si>
  <si>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</si>
  <si>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</si>
  <si>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</si>
  <si>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</si>
  <si>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</si>
  <si>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</si>
  <si>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</si>
  <si>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</si>
  <si>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</si>
  <si>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</si>
  <si>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</si>
  <si>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</si>
  <si>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</si>
  <si>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</si>
  <si>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</si>
  <si>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</si>
  <si>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</si>
  <si>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</si>
  <si>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</si>
  <si>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</si>
  <si>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</si>
  <si>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</si>
  <si>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</si>
  <si>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</si>
  <si>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</si>
  <si>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</si>
  <si>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</si>
  <si>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</si>
  <si>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</si>
  <si>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</si>
  <si>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</si>
  <si>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</si>
  <si>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</si>
  <si>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</si>
  <si>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</si>
  <si>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</si>
  <si>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</si>
  <si>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</si>
  <si>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</si>
  <si>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</si>
  <si>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</si>
  <si>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</si>
  <si>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</si>
  <si>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</si>
  <si>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</si>
  <si>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</si>
  <si>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</si>
  <si>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</si>
  <si>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</si>
  <si>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</si>
  <si>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</si>
  <si>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</si>
  <si>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</si>
  <si>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</si>
  <si>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</si>
  <si>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</si>
  <si>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</si>
  <si>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</si>
  <si>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</si>
  <si>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</si>
  <si>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</si>
  <si>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</si>
  <si>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</si>
  <si>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</si>
  <si>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</si>
  <si>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</si>
  <si>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</si>
  <si>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</si>
  <si>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</si>
  <si>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</si>
  <si>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</si>
  <si>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</si>
  <si>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</si>
  <si>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</si>
  <si>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</si>
  <si>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</si>
  <si>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</si>
  <si>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</si>
  <si>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</si>
  <si>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</si>
  <si>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</si>
  <si>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</si>
  <si>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</si>
  <si>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</si>
  <si>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</si>
  <si>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</si>
  <si>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</si>
  <si>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</si>
  <si>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</si>
  <si>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</si>
  <si>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</si>
  <si>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</si>
  <si>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</si>
  <si>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</si>
  <si>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</si>
  <si>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</si>
  <si>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</si>
  <si>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</si>
  <si>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</si>
  <si>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</si>
  <si>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</si>
  <si>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</si>
  <si>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</si>
  <si>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</si>
  <si>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</si>
  <si>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</si>
  <si>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</si>
  <si>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</si>
  <si>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</si>
  <si>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</si>
  <si>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</si>
  <si>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</si>
  <si>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</si>
  <si>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</si>
  <si>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</si>
  <si>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</si>
  <si>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</si>
  <si>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</si>
  <si>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</si>
  <si>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</si>
  <si>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</si>
  <si>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</si>
  <si>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</si>
  <si>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</si>
  <si>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</si>
  <si>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</si>
  <si>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</si>
  <si>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</si>
  <si>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</si>
  <si>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</si>
  <si>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</si>
  <si>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</si>
  <si>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</si>
  <si>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</si>
  <si>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</si>
  <si>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</si>
  <si>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</si>
  <si>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</si>
  <si>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</si>
  <si>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</si>
  <si>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</si>
  <si>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</si>
  <si>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</si>
  <si>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</si>
  <si>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</si>
  <si>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</si>
  <si>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</si>
  <si>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</si>
  <si>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</si>
  <si>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</si>
  <si>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</si>
  <si>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</si>
  <si>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</si>
  <si>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</si>
  <si>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</si>
  <si>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</si>
  <si>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</si>
  <si>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</si>
  <si>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</si>
  <si>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</si>
  <si>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</si>
  <si>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</si>
  <si>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</si>
  <si>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</si>
  <si>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</si>
  <si>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</si>
  <si>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</si>
  <si>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</si>
  <si>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</si>
  <si>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</si>
  <si>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</si>
  <si>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</si>
  <si>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</si>
  <si>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</si>
  <si>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</si>
  <si>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</si>
  <si>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</si>
  <si>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</si>
  <si>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</si>
  <si>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</si>
  <si>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</si>
  <si>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</si>
  <si>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</si>
  <si>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</si>
  <si>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</si>
  <si>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</si>
  <si>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</si>
  <si>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</si>
  <si>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</si>
  <si>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</si>
  <si>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</si>
  <si>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</si>
  <si>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</si>
  <si>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</si>
  <si>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</si>
  <si>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</si>
  <si>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</si>
  <si>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</si>
  <si>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</si>
  <si>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</si>
  <si>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</si>
  <si>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</si>
  <si>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</si>
  <si>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</si>
  <si>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</si>
  <si>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</si>
  <si>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</si>
  <si>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</si>
  <si>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</si>
  <si>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</si>
  <si>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</si>
  <si>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</si>
  <si>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</si>
  <si>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</si>
  <si>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</si>
  <si>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</si>
  <si>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</si>
  <si>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</si>
  <si>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</si>
  <si>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</si>
  <si>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</si>
  <si>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</si>
  <si>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</si>
  <si>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</si>
  <si>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</si>
  <si>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</si>
  <si>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</si>
  <si>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</si>
  <si>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</si>
  <si>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</si>
  <si>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</si>
  <si>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</si>
  <si>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</si>
  <si>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</si>
  <si>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</si>
  <si>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</si>
  <si>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</si>
  <si>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</si>
  <si>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</si>
  <si>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</si>
  <si>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</si>
  <si>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</si>
  <si>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</si>
  <si>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</si>
  <si>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</si>
  <si>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</si>
  <si>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</si>
  <si>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</si>
  <si>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</si>
  <si>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</si>
  <si>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</si>
  <si>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</si>
  <si>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</si>
  <si>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</si>
  <si>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</si>
  <si>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</si>
  <si>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</si>
  <si>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</si>
  <si>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</si>
  <si>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</si>
  <si>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</si>
  <si>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</si>
  <si>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</si>
  <si>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</si>
  <si>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</si>
  <si>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</si>
  <si>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</si>
  <si>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</si>
  <si>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</si>
  <si>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</si>
  <si>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</si>
  <si>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</si>
  <si>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</si>
  <si>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</si>
  <si>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</si>
  <si>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</si>
  <si>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</si>
  <si>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</si>
  <si>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</si>
  <si>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</si>
  <si>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</si>
  <si>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</si>
  <si>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</si>
  <si>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</si>
  <si>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</si>
  <si>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</si>
  <si>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</si>
  <si>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</si>
  <si>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</si>
  <si>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</si>
  <si>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</si>
  <si>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</si>
  <si>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</si>
  <si>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</si>
  <si>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</si>
  <si>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</si>
  <si>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</si>
  <si>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</si>
  <si>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12029</t>
  </si>
  <si>
    <t>PUTTE</t>
  </si>
  <si>
    <t>Cultuurgrond (ha)</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</si>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</sst>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158492.11899784172</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158492.11899784172</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32809.932445898725</c:v>
                </c:pt>
                <c:pt idx="2">
                  <c:v>11889.085459270316</c:v>
                </c:pt>
                <c:pt idx="3">
                  <c:v>209.965301404261</c:v>
                </c:pt>
                <c:pt idx="4">
                  <c:v>16681.941411962365</c:v>
                </c:pt>
                <c:pt idx="5">
                  <c:v>3463.2087765439524</c:v>
                </c:pt>
                <c:pt idx="6">
                  <c:v>23847.077403130901</c:v>
                </c:pt>
                <c:pt idx="7">
                  <c:v>416.65047183328664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32809.932445898725</c:v>
                </c:pt>
                <c:pt idx="2">
                  <c:v>11889.085459270316</c:v>
                </c:pt>
                <c:pt idx="3">
                  <c:v>209.965301404261</c:v>
                </c:pt>
                <c:pt idx="4">
                  <c:v>16681.941411962365</c:v>
                </c:pt>
                <c:pt idx="5">
                  <c:v>3463.2087765439524</c:v>
                </c:pt>
                <c:pt idx="6">
                  <c:v>23847.077403130901</c:v>
                </c:pt>
                <c:pt idx="7">
                  <c:v>416.65047183328664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12029</v>
      </c>
      <c r="B6" s="398"/>
      <c r="C6" s="399"/>
    </row>
    <row r="7" spans="1:7" s="396" customFormat="1" ht="15.75" customHeight="1">
      <c r="A7" s="400" t="str">
        <f>txtMunicipality</f>
        <v>PUTTE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13998.814389782025</v>
      </c>
      <c r="D10" s="690">
        <f ca="1">tertiair!C16</f>
        <v>0</v>
      </c>
      <c r="E10" s="690">
        <f ca="1">tertiair!D16</f>
        <v>41699.955934794059</v>
      </c>
      <c r="F10" s="690">
        <f>tertiair!E16</f>
        <v>209.89345009863683</v>
      </c>
      <c r="G10" s="690">
        <f ca="1">tertiair!F16</f>
        <v>2543.6773339597376</v>
      </c>
      <c r="H10" s="690">
        <f>tertiair!G16</f>
        <v>0</v>
      </c>
      <c r="I10" s="690">
        <f>tertiair!H16</f>
        <v>0</v>
      </c>
      <c r="J10" s="690">
        <f>tertiair!I16</f>
        <v>0</v>
      </c>
      <c r="K10" s="690">
        <f>tertiair!J16</f>
        <v>0</v>
      </c>
      <c r="L10" s="690">
        <f>tertiair!K16</f>
        <v>0</v>
      </c>
      <c r="M10" s="690">
        <f ca="1">tertiair!L16</f>
        <v>0</v>
      </c>
      <c r="N10" s="690">
        <f>tertiair!M16</f>
        <v>0</v>
      </c>
      <c r="O10" s="690">
        <f ca="1">tertiair!N16</f>
        <v>628.09908642326127</v>
      </c>
      <c r="P10" s="690">
        <f>tertiair!O16</f>
        <v>3.1266666666666669</v>
      </c>
      <c r="Q10" s="691">
        <f>tertiair!P16</f>
        <v>38.133333333333333</v>
      </c>
      <c r="R10" s="693">
        <f ca="1">SUM(C10:Q10)</f>
        <v>59121.700195057711</v>
      </c>
      <c r="S10" s="67"/>
    </row>
    <row r="11" spans="1:19" s="458" customFormat="1">
      <c r="A11" s="805" t="s">
        <v>225</v>
      </c>
      <c r="B11" s="810"/>
      <c r="C11" s="690">
        <f>huishoudens!B8</f>
        <v>32633.672040447102</v>
      </c>
      <c r="D11" s="690">
        <f>huishoudens!C8</f>
        <v>0</v>
      </c>
      <c r="E11" s="690">
        <f>huishoudens!D8</f>
        <v>58875.55082966201</v>
      </c>
      <c r="F11" s="690">
        <f>huishoudens!E8</f>
        <v>5169.8919367057006</v>
      </c>
      <c r="G11" s="690">
        <f>huishoudens!F8</f>
        <v>48199.320657057659</v>
      </c>
      <c r="H11" s="690">
        <f>huishoudens!G8</f>
        <v>0</v>
      </c>
      <c r="I11" s="690">
        <f>huishoudens!H8</f>
        <v>0</v>
      </c>
      <c r="J11" s="690">
        <f>huishoudens!I8</f>
        <v>0</v>
      </c>
      <c r="K11" s="690">
        <f>huishoudens!J8</f>
        <v>0</v>
      </c>
      <c r="L11" s="690">
        <f>huishoudens!K8</f>
        <v>0</v>
      </c>
      <c r="M11" s="690">
        <f>huishoudens!L8</f>
        <v>0</v>
      </c>
      <c r="N11" s="690">
        <f>huishoudens!M8</f>
        <v>0</v>
      </c>
      <c r="O11" s="690">
        <f>huishoudens!N8</f>
        <v>12690.300200635935</v>
      </c>
      <c r="P11" s="690">
        <f>huishoudens!O8</f>
        <v>179.78333333333333</v>
      </c>
      <c r="Q11" s="691">
        <f>huishoudens!P8</f>
        <v>743.6</v>
      </c>
      <c r="R11" s="693">
        <f>SUM(C11:Q11)</f>
        <v>158492.11899784172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6279.9621860441503</v>
      </c>
      <c r="D13" s="690">
        <f>industrie!C18</f>
        <v>0</v>
      </c>
      <c r="E13" s="690">
        <f>industrie!D18</f>
        <v>4554.0660762077678</v>
      </c>
      <c r="F13" s="690">
        <f>industrie!E18</f>
        <v>714.52592660313121</v>
      </c>
      <c r="G13" s="690">
        <f>industrie!F18</f>
        <v>3955.6957956941392</v>
      </c>
      <c r="H13" s="690">
        <f>industrie!G18</f>
        <v>0</v>
      </c>
      <c r="I13" s="690">
        <f>industrie!H18</f>
        <v>0</v>
      </c>
      <c r="J13" s="690">
        <f>industrie!I18</f>
        <v>0</v>
      </c>
      <c r="K13" s="690">
        <f>industrie!J18</f>
        <v>5.7752743595307496</v>
      </c>
      <c r="L13" s="690">
        <f>industrie!K18</f>
        <v>0</v>
      </c>
      <c r="M13" s="690">
        <f>industrie!L18</f>
        <v>0</v>
      </c>
      <c r="N13" s="690">
        <f>industrie!M18</f>
        <v>0</v>
      </c>
      <c r="O13" s="690">
        <f>industrie!N18</f>
        <v>1849.844318101608</v>
      </c>
      <c r="P13" s="690">
        <f>industrie!O18</f>
        <v>0</v>
      </c>
      <c r="Q13" s="691">
        <f>industrie!P18</f>
        <v>0</v>
      </c>
      <c r="R13" s="693">
        <f>SUM(C13:Q13)</f>
        <v>17359.869577010326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52912.448616273272</v>
      </c>
      <c r="D16" s="725">
        <f t="shared" ref="D16:R16" ca="1" si="0">SUM(D9:D15)</f>
        <v>0</v>
      </c>
      <c r="E16" s="725">
        <f t="shared" ca="1" si="0"/>
        <v>105129.57284066384</v>
      </c>
      <c r="F16" s="725">
        <f t="shared" si="0"/>
        <v>6094.3113134074683</v>
      </c>
      <c r="G16" s="725">
        <f t="shared" ca="1" si="0"/>
        <v>54698.693786711534</v>
      </c>
      <c r="H16" s="725">
        <f t="shared" si="0"/>
        <v>0</v>
      </c>
      <c r="I16" s="725">
        <f t="shared" si="0"/>
        <v>0</v>
      </c>
      <c r="J16" s="725">
        <f t="shared" si="0"/>
        <v>0</v>
      </c>
      <c r="K16" s="725">
        <f t="shared" si="0"/>
        <v>5.7752743595307496</v>
      </c>
      <c r="L16" s="725">
        <f t="shared" si="0"/>
        <v>0</v>
      </c>
      <c r="M16" s="725">
        <f t="shared" ca="1" si="0"/>
        <v>0</v>
      </c>
      <c r="N16" s="725">
        <f t="shared" si="0"/>
        <v>0</v>
      </c>
      <c r="O16" s="725">
        <f t="shared" ca="1" si="0"/>
        <v>15168.243605160804</v>
      </c>
      <c r="P16" s="725">
        <f t="shared" si="0"/>
        <v>182.91</v>
      </c>
      <c r="Q16" s="725">
        <f t="shared" si="0"/>
        <v>781.73333333333335</v>
      </c>
      <c r="R16" s="725">
        <f t="shared" ca="1" si="0"/>
        <v>234973.68876990979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1560.4886585516354</v>
      </c>
      <c r="I19" s="690">
        <f>transport!H54</f>
        <v>0</v>
      </c>
      <c r="J19" s="690">
        <f>transport!I54</f>
        <v>0</v>
      </c>
      <c r="K19" s="690">
        <f>transport!J54</f>
        <v>0</v>
      </c>
      <c r="L19" s="690">
        <f>transport!K54</f>
        <v>0</v>
      </c>
      <c r="M19" s="690">
        <f>transport!L54</f>
        <v>0</v>
      </c>
      <c r="N19" s="690">
        <f>transport!M54</f>
        <v>69.398747470559456</v>
      </c>
      <c r="O19" s="690">
        <f>transport!N54</f>
        <v>0</v>
      </c>
      <c r="P19" s="690">
        <f>transport!O54</f>
        <v>0</v>
      </c>
      <c r="Q19" s="691">
        <f>transport!P54</f>
        <v>0</v>
      </c>
      <c r="R19" s="693">
        <f>SUM(C19:Q19)</f>
        <v>1629.8874060221949</v>
      </c>
      <c r="S19" s="67"/>
    </row>
    <row r="20" spans="1:19" s="458" customFormat="1">
      <c r="A20" s="805" t="s">
        <v>307</v>
      </c>
      <c r="B20" s="810"/>
      <c r="C20" s="690">
        <f>transport!B14</f>
        <v>6.6163035663527765</v>
      </c>
      <c r="D20" s="690">
        <f>transport!C14</f>
        <v>0</v>
      </c>
      <c r="E20" s="690">
        <f>transport!D14</f>
        <v>10.64025686421232</v>
      </c>
      <c r="F20" s="690">
        <f>transport!E14</f>
        <v>326.99718503695703</v>
      </c>
      <c r="G20" s="690">
        <f>transport!F14</f>
        <v>0</v>
      </c>
      <c r="H20" s="690">
        <f>transport!G14</f>
        <v>74152.885365621289</v>
      </c>
      <c r="I20" s="690">
        <f>transport!H14</f>
        <v>15945.725270871595</v>
      </c>
      <c r="J20" s="690">
        <f>transport!I14</f>
        <v>0</v>
      </c>
      <c r="K20" s="690">
        <f>transport!J14</f>
        <v>0</v>
      </c>
      <c r="L20" s="690">
        <f>transport!K14</f>
        <v>0</v>
      </c>
      <c r="M20" s="690">
        <f>transport!L14</f>
        <v>0</v>
      </c>
      <c r="N20" s="690">
        <f>transport!M14</f>
        <v>4074.4070105175865</v>
      </c>
      <c r="O20" s="690">
        <f>transport!N14</f>
        <v>0</v>
      </c>
      <c r="P20" s="690">
        <f>transport!O14</f>
        <v>0</v>
      </c>
      <c r="Q20" s="691">
        <f>transport!P14</f>
        <v>0</v>
      </c>
      <c r="R20" s="693">
        <f>SUM(C20:Q20)</f>
        <v>94517.271392477996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6.6163035663527765</v>
      </c>
      <c r="D22" s="808">
        <f t="shared" ref="D22:R22" si="1">SUM(D18:D21)</f>
        <v>0</v>
      </c>
      <c r="E22" s="808">
        <f t="shared" si="1"/>
        <v>10.64025686421232</v>
      </c>
      <c r="F22" s="808">
        <f t="shared" si="1"/>
        <v>326.99718503695703</v>
      </c>
      <c r="G22" s="808">
        <f t="shared" si="1"/>
        <v>0</v>
      </c>
      <c r="H22" s="808">
        <f t="shared" si="1"/>
        <v>75713.374024172925</v>
      </c>
      <c r="I22" s="808">
        <f t="shared" si="1"/>
        <v>15945.725270871595</v>
      </c>
      <c r="J22" s="808">
        <f t="shared" si="1"/>
        <v>0</v>
      </c>
      <c r="K22" s="808">
        <f t="shared" si="1"/>
        <v>0</v>
      </c>
      <c r="L22" s="808">
        <f t="shared" si="1"/>
        <v>0</v>
      </c>
      <c r="M22" s="808">
        <f t="shared" si="1"/>
        <v>0</v>
      </c>
      <c r="N22" s="808">
        <f t="shared" si="1"/>
        <v>4143.8057579881461</v>
      </c>
      <c r="O22" s="808">
        <f t="shared" si="1"/>
        <v>0</v>
      </c>
      <c r="P22" s="808">
        <f t="shared" si="1"/>
        <v>0</v>
      </c>
      <c r="Q22" s="808">
        <f t="shared" si="1"/>
        <v>0</v>
      </c>
      <c r="R22" s="808">
        <f t="shared" si="1"/>
        <v>96147.158798500197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2093.206653172866</v>
      </c>
      <c r="D24" s="690">
        <f>+landbouw!C8</f>
        <v>67025.410714285725</v>
      </c>
      <c r="E24" s="690">
        <f>+landbouw!D8</f>
        <v>0</v>
      </c>
      <c r="F24" s="690">
        <f>+landbouw!E8</f>
        <v>26.37710042842135</v>
      </c>
      <c r="G24" s="690">
        <f>+landbouw!F8</f>
        <v>4246.4623330459744</v>
      </c>
      <c r="H24" s="690">
        <f>+landbouw!G8</f>
        <v>0</v>
      </c>
      <c r="I24" s="690">
        <f>+landbouw!H8</f>
        <v>0</v>
      </c>
      <c r="J24" s="690">
        <f>+landbouw!I8</f>
        <v>0</v>
      </c>
      <c r="K24" s="690">
        <f>+landbouw!J8</f>
        <v>314.79448590376012</v>
      </c>
      <c r="L24" s="690">
        <f>+landbouw!K8</f>
        <v>0</v>
      </c>
      <c r="M24" s="690">
        <f>+landbouw!L8</f>
        <v>0</v>
      </c>
      <c r="N24" s="690">
        <f>+landbouw!M8</f>
        <v>0</v>
      </c>
      <c r="O24" s="690">
        <f>+landbouw!N8</f>
        <v>0</v>
      </c>
      <c r="P24" s="690">
        <f>+landbouw!O8</f>
        <v>0</v>
      </c>
      <c r="Q24" s="691">
        <f>+landbouw!P8</f>
        <v>0</v>
      </c>
      <c r="R24" s="693">
        <f>SUM(C24:Q24)</f>
        <v>73706.251286836748</v>
      </c>
      <c r="S24" s="67"/>
    </row>
    <row r="25" spans="1:19" s="458" customFormat="1" ht="15" thickBot="1">
      <c r="A25" s="827" t="s">
        <v>872</v>
      </c>
      <c r="B25" s="1004"/>
      <c r="C25" s="1005">
        <f>IF(Onbekend_ele_kWh="---",0,Onbekend_ele_kWh)/1000+IF(REST_rest_ele_kWh="---",0,REST_rest_ele_kWh)/1000</f>
        <v>928.54272592451503</v>
      </c>
      <c r="D25" s="1005"/>
      <c r="E25" s="1005">
        <f>IF(onbekend_gas_kWh="---",0,onbekend_gas_kWh)/1000+IF(REST_rest_gas_kWh="---",0,REST_rest_gas_kWh)/1000</f>
        <v>2957.5926802735398</v>
      </c>
      <c r="F25" s="1005"/>
      <c r="G25" s="1005"/>
      <c r="H25" s="1005"/>
      <c r="I25" s="1005"/>
      <c r="J25" s="1005"/>
      <c r="K25" s="1005"/>
      <c r="L25" s="1005"/>
      <c r="M25" s="1005"/>
      <c r="N25" s="1005"/>
      <c r="O25" s="1005"/>
      <c r="P25" s="1005"/>
      <c r="Q25" s="1006"/>
      <c r="R25" s="693">
        <f>SUM(C25:Q25)</f>
        <v>3886.1354061980546</v>
      </c>
      <c r="S25" s="67"/>
    </row>
    <row r="26" spans="1:19" s="458" customFormat="1" ht="15.75" thickBot="1">
      <c r="A26" s="698" t="s">
        <v>873</v>
      </c>
      <c r="B26" s="813"/>
      <c r="C26" s="808">
        <f>SUM(C24:C25)</f>
        <v>3021.7493790973813</v>
      </c>
      <c r="D26" s="808">
        <f t="shared" ref="D26:R26" si="2">SUM(D24:D25)</f>
        <v>67025.410714285725</v>
      </c>
      <c r="E26" s="808">
        <f t="shared" si="2"/>
        <v>2957.5926802735398</v>
      </c>
      <c r="F26" s="808">
        <f t="shared" si="2"/>
        <v>26.37710042842135</v>
      </c>
      <c r="G26" s="808">
        <f t="shared" si="2"/>
        <v>4246.4623330459744</v>
      </c>
      <c r="H26" s="808">
        <f t="shared" si="2"/>
        <v>0</v>
      </c>
      <c r="I26" s="808">
        <f t="shared" si="2"/>
        <v>0</v>
      </c>
      <c r="J26" s="808">
        <f t="shared" si="2"/>
        <v>0</v>
      </c>
      <c r="K26" s="808">
        <f t="shared" si="2"/>
        <v>314.79448590376012</v>
      </c>
      <c r="L26" s="808">
        <f t="shared" si="2"/>
        <v>0</v>
      </c>
      <c r="M26" s="808">
        <f t="shared" si="2"/>
        <v>0</v>
      </c>
      <c r="N26" s="808">
        <f t="shared" si="2"/>
        <v>0</v>
      </c>
      <c r="O26" s="808">
        <f t="shared" si="2"/>
        <v>0</v>
      </c>
      <c r="P26" s="808">
        <f t="shared" si="2"/>
        <v>0</v>
      </c>
      <c r="Q26" s="808">
        <f t="shared" si="2"/>
        <v>0</v>
      </c>
      <c r="R26" s="808">
        <f t="shared" si="2"/>
        <v>77592.386693034801</v>
      </c>
      <c r="S26" s="67"/>
    </row>
    <row r="27" spans="1:19" s="458" customFormat="1" ht="17.25" thickTop="1" thickBot="1">
      <c r="A27" s="699" t="s">
        <v>116</v>
      </c>
      <c r="B27" s="800"/>
      <c r="C27" s="700">
        <f ca="1">C22+C16+C26</f>
        <v>55940.81429893701</v>
      </c>
      <c r="D27" s="700">
        <f t="shared" ref="D27:R27" ca="1" si="3">D22+D16+D26</f>
        <v>67025.410714285725</v>
      </c>
      <c r="E27" s="700">
        <f t="shared" ca="1" si="3"/>
        <v>108097.80577780158</v>
      </c>
      <c r="F27" s="700">
        <f t="shared" si="3"/>
        <v>6447.6855988728466</v>
      </c>
      <c r="G27" s="700">
        <f t="shared" ca="1" si="3"/>
        <v>58945.156119757507</v>
      </c>
      <c r="H27" s="700">
        <f t="shared" si="3"/>
        <v>75713.374024172925</v>
      </c>
      <c r="I27" s="700">
        <f t="shared" si="3"/>
        <v>15945.725270871595</v>
      </c>
      <c r="J27" s="700">
        <f t="shared" si="3"/>
        <v>0</v>
      </c>
      <c r="K27" s="700">
        <f t="shared" si="3"/>
        <v>320.56976026329085</v>
      </c>
      <c r="L27" s="700">
        <f t="shared" si="3"/>
        <v>0</v>
      </c>
      <c r="M27" s="700">
        <f t="shared" ca="1" si="3"/>
        <v>0</v>
      </c>
      <c r="N27" s="700">
        <f t="shared" si="3"/>
        <v>4143.8057579881461</v>
      </c>
      <c r="O27" s="700">
        <f t="shared" ca="1" si="3"/>
        <v>15168.243605160804</v>
      </c>
      <c r="P27" s="700">
        <f t="shared" si="3"/>
        <v>182.91</v>
      </c>
      <c r="Q27" s="700">
        <f t="shared" si="3"/>
        <v>781.73333333333335</v>
      </c>
      <c r="R27" s="700">
        <f t="shared" ca="1" si="3"/>
        <v>408713.23426144477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2948.8520005065357</v>
      </c>
      <c r="D40" s="690">
        <f ca="1">tertiair!C20</f>
        <v>0</v>
      </c>
      <c r="E40" s="690">
        <f ca="1">tertiair!D20</f>
        <v>8423.3910988284006</v>
      </c>
      <c r="F40" s="690">
        <f>tertiair!E20</f>
        <v>47.645813172390561</v>
      </c>
      <c r="G40" s="690">
        <f ca="1">tertiair!F20</f>
        <v>679.16184816725001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12099.050760674578</v>
      </c>
    </row>
    <row r="41" spans="1:18">
      <c r="A41" s="818" t="s">
        <v>225</v>
      </c>
      <c r="B41" s="825"/>
      <c r="C41" s="690">
        <f ca="1">huishoudens!B12</f>
        <v>6874.2870932404057</v>
      </c>
      <c r="D41" s="690">
        <f ca="1">huishoudens!C12</f>
        <v>0</v>
      </c>
      <c r="E41" s="690">
        <f>huishoudens!D12</f>
        <v>11892.861267591727</v>
      </c>
      <c r="F41" s="690">
        <f>huishoudens!E12</f>
        <v>1173.565469632194</v>
      </c>
      <c r="G41" s="690">
        <f>huishoudens!F12</f>
        <v>12869.218615434396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32809.932445898725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1322.8748192374628</v>
      </c>
      <c r="D43" s="690">
        <f ca="1">industrie!C22</f>
        <v>0</v>
      </c>
      <c r="E43" s="690">
        <f>industrie!D22</f>
        <v>919.9213473939692</v>
      </c>
      <c r="F43" s="690">
        <f>industrie!E22</f>
        <v>162.19738533891078</v>
      </c>
      <c r="G43" s="690">
        <f>industrie!F22</f>
        <v>1056.1707774503352</v>
      </c>
      <c r="H43" s="690">
        <f>industrie!G22</f>
        <v>0</v>
      </c>
      <c r="I43" s="690">
        <f>industrie!H22</f>
        <v>0</v>
      </c>
      <c r="J43" s="690">
        <f>industrie!I22</f>
        <v>0</v>
      </c>
      <c r="K43" s="690">
        <f>industrie!J22</f>
        <v>2.0444471232738852</v>
      </c>
      <c r="L43" s="690">
        <f>industrie!K22</f>
        <v>0</v>
      </c>
      <c r="M43" s="690">
        <f>industrie!L22</f>
        <v>0</v>
      </c>
      <c r="N43" s="690">
        <f>industrie!M22</f>
        <v>0</v>
      </c>
      <c r="O43" s="690">
        <f>industrie!N22</f>
        <v>0</v>
      </c>
      <c r="P43" s="690">
        <f>industrie!O22</f>
        <v>0</v>
      </c>
      <c r="Q43" s="767">
        <f>industrie!P22</f>
        <v>0</v>
      </c>
      <c r="R43" s="845">
        <f t="shared" ca="1" si="4"/>
        <v>3463.2087765439524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11146.013912984403</v>
      </c>
      <c r="D46" s="725">
        <f t="shared" ref="D46:Q46" ca="1" si="5">SUM(D39:D45)</f>
        <v>0</v>
      </c>
      <c r="E46" s="725">
        <f t="shared" ca="1" si="5"/>
        <v>21236.1737138141</v>
      </c>
      <c r="F46" s="725">
        <f t="shared" si="5"/>
        <v>1383.4086681434953</v>
      </c>
      <c r="G46" s="725">
        <f t="shared" ca="1" si="5"/>
        <v>14604.551241051982</v>
      </c>
      <c r="H46" s="725">
        <f t="shared" si="5"/>
        <v>0</v>
      </c>
      <c r="I46" s="725">
        <f t="shared" si="5"/>
        <v>0</v>
      </c>
      <c r="J46" s="725">
        <f t="shared" si="5"/>
        <v>0</v>
      </c>
      <c r="K46" s="725">
        <f t="shared" si="5"/>
        <v>2.0444471232738852</v>
      </c>
      <c r="L46" s="725">
        <f t="shared" si="5"/>
        <v>0</v>
      </c>
      <c r="M46" s="725">
        <f t="shared" ca="1" si="5"/>
        <v>0</v>
      </c>
      <c r="N46" s="725">
        <f t="shared" si="5"/>
        <v>0</v>
      </c>
      <c r="O46" s="725">
        <f t="shared" ca="1" si="5"/>
        <v>0</v>
      </c>
      <c r="P46" s="725">
        <f t="shared" si="5"/>
        <v>0</v>
      </c>
      <c r="Q46" s="725">
        <f t="shared" si="5"/>
        <v>0</v>
      </c>
      <c r="R46" s="725">
        <f ca="1">SUM(R39:R45)</f>
        <v>48372.191983117256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416.65047183328664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416.65047183328664</v>
      </c>
    </row>
    <row r="50" spans="1:18">
      <c r="A50" s="821" t="s">
        <v>307</v>
      </c>
      <c r="B50" s="831"/>
      <c r="C50" s="696">
        <f ca="1">transport!B18</f>
        <v>1.3937251730288645</v>
      </c>
      <c r="D50" s="696">
        <f>transport!C18</f>
        <v>0</v>
      </c>
      <c r="E50" s="696">
        <f>transport!D18</f>
        <v>2.1493318865708888</v>
      </c>
      <c r="F50" s="696">
        <f>transport!E18</f>
        <v>74.228361003389253</v>
      </c>
      <c r="G50" s="696">
        <f>transport!F18</f>
        <v>0</v>
      </c>
      <c r="H50" s="696">
        <f>transport!G18</f>
        <v>19798.820392620884</v>
      </c>
      <c r="I50" s="696">
        <f>transport!H18</f>
        <v>3970.4855924470271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23847.077403130901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1.3937251730288645</v>
      </c>
      <c r="D52" s="725">
        <f t="shared" ref="D52:Q52" ca="1" si="6">SUM(D48:D51)</f>
        <v>0</v>
      </c>
      <c r="E52" s="725">
        <f t="shared" si="6"/>
        <v>2.1493318865708888</v>
      </c>
      <c r="F52" s="725">
        <f t="shared" si="6"/>
        <v>74.228361003389253</v>
      </c>
      <c r="G52" s="725">
        <f t="shared" si="6"/>
        <v>0</v>
      </c>
      <c r="H52" s="725">
        <f t="shared" si="6"/>
        <v>20215.470864454172</v>
      </c>
      <c r="I52" s="725">
        <f t="shared" si="6"/>
        <v>3970.4855924470271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24263.727874964188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440.93424305903017</v>
      </c>
      <c r="D54" s="696">
        <f ca="1">+landbouw!C12</f>
        <v>14989.776876172878</v>
      </c>
      <c r="E54" s="696">
        <f>+landbouw!D12</f>
        <v>0</v>
      </c>
      <c r="F54" s="696">
        <f>+landbouw!E12</f>
        <v>5.9876017972516467</v>
      </c>
      <c r="G54" s="696">
        <f>+landbouw!F12</f>
        <v>1133.8054429232752</v>
      </c>
      <c r="H54" s="696">
        <f>+landbouw!G12</f>
        <v>0</v>
      </c>
      <c r="I54" s="696">
        <f>+landbouw!H12</f>
        <v>0</v>
      </c>
      <c r="J54" s="696">
        <f>+landbouw!I12</f>
        <v>0</v>
      </c>
      <c r="K54" s="696">
        <f>+landbouw!J12</f>
        <v>111.43724800993108</v>
      </c>
      <c r="L54" s="696">
        <f>+landbouw!K12</f>
        <v>0</v>
      </c>
      <c r="M54" s="696">
        <f>+landbouw!L12</f>
        <v>0</v>
      </c>
      <c r="N54" s="696">
        <f>+landbouw!M12</f>
        <v>0</v>
      </c>
      <c r="O54" s="696">
        <f>+landbouw!N12</f>
        <v>0</v>
      </c>
      <c r="P54" s="696">
        <f>+landbouw!O12</f>
        <v>0</v>
      </c>
      <c r="Q54" s="697">
        <f>+landbouw!P12</f>
        <v>0</v>
      </c>
      <c r="R54" s="724">
        <f ca="1">SUM(C54:Q54)</f>
        <v>16681.941411962365</v>
      </c>
    </row>
    <row r="55" spans="1:18" ht="15" thickBot="1">
      <c r="A55" s="821" t="s">
        <v>872</v>
      </c>
      <c r="B55" s="831"/>
      <c r="C55" s="696">
        <f ca="1">C25*'EF ele_warmte'!B12</f>
        <v>195.59764124716946</v>
      </c>
      <c r="D55" s="696"/>
      <c r="E55" s="696">
        <f>E25*EF_CO2_aardgas</f>
        <v>597.43372141525504</v>
      </c>
      <c r="F55" s="696"/>
      <c r="G55" s="696"/>
      <c r="H55" s="696"/>
      <c r="I55" s="696"/>
      <c r="J55" s="696"/>
      <c r="K55" s="696"/>
      <c r="L55" s="696"/>
      <c r="M55" s="696"/>
      <c r="N55" s="696"/>
      <c r="O55" s="696"/>
      <c r="P55" s="696"/>
      <c r="Q55" s="697"/>
      <c r="R55" s="724">
        <f ca="1">SUM(C55:Q55)</f>
        <v>793.0313626624245</v>
      </c>
    </row>
    <row r="56" spans="1:18" ht="15.75" thickBot="1">
      <c r="A56" s="819" t="s">
        <v>873</v>
      </c>
      <c r="B56" s="832"/>
      <c r="C56" s="725">
        <f ca="1">SUM(C54:C55)</f>
        <v>636.53188430619957</v>
      </c>
      <c r="D56" s="725">
        <f t="shared" ref="D56:Q56" ca="1" si="7">SUM(D54:D55)</f>
        <v>14989.776876172878</v>
      </c>
      <c r="E56" s="725">
        <f t="shared" si="7"/>
        <v>597.43372141525504</v>
      </c>
      <c r="F56" s="725">
        <f t="shared" si="7"/>
        <v>5.9876017972516467</v>
      </c>
      <c r="G56" s="725">
        <f t="shared" si="7"/>
        <v>1133.8054429232752</v>
      </c>
      <c r="H56" s="725">
        <f t="shared" si="7"/>
        <v>0</v>
      </c>
      <c r="I56" s="725">
        <f t="shared" si="7"/>
        <v>0</v>
      </c>
      <c r="J56" s="725">
        <f t="shared" si="7"/>
        <v>0</v>
      </c>
      <c r="K56" s="725">
        <f t="shared" si="7"/>
        <v>111.43724800993108</v>
      </c>
      <c r="L56" s="725">
        <f t="shared" si="7"/>
        <v>0</v>
      </c>
      <c r="M56" s="725">
        <f t="shared" si="7"/>
        <v>0</v>
      </c>
      <c r="N56" s="725">
        <f t="shared" si="7"/>
        <v>0</v>
      </c>
      <c r="O56" s="725">
        <f t="shared" si="7"/>
        <v>0</v>
      </c>
      <c r="P56" s="725">
        <f t="shared" si="7"/>
        <v>0</v>
      </c>
      <c r="Q56" s="726">
        <f t="shared" si="7"/>
        <v>0</v>
      </c>
      <c r="R56" s="727">
        <f ca="1">SUM(R54:R55)</f>
        <v>17474.972774624788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11783.939522463632</v>
      </c>
      <c r="D61" s="733">
        <f t="shared" ref="D61:Q61" ca="1" si="8">D46+D52+D56</f>
        <v>14989.776876172878</v>
      </c>
      <c r="E61" s="733">
        <f t="shared" ca="1" si="8"/>
        <v>21835.756767115927</v>
      </c>
      <c r="F61" s="733">
        <f t="shared" si="8"/>
        <v>1463.6246309441362</v>
      </c>
      <c r="G61" s="733">
        <f t="shared" ca="1" si="8"/>
        <v>15738.356683975257</v>
      </c>
      <c r="H61" s="733">
        <f t="shared" si="8"/>
        <v>20215.470864454172</v>
      </c>
      <c r="I61" s="733">
        <f t="shared" si="8"/>
        <v>3970.4855924470271</v>
      </c>
      <c r="J61" s="733">
        <f t="shared" si="8"/>
        <v>0</v>
      </c>
      <c r="K61" s="733">
        <f t="shared" si="8"/>
        <v>113.48169513320497</v>
      </c>
      <c r="L61" s="733">
        <f t="shared" si="8"/>
        <v>0</v>
      </c>
      <c r="M61" s="733">
        <f t="shared" ca="1" si="8"/>
        <v>0</v>
      </c>
      <c r="N61" s="733">
        <f t="shared" si="8"/>
        <v>0</v>
      </c>
      <c r="O61" s="733">
        <f t="shared" ca="1" si="8"/>
        <v>0</v>
      </c>
      <c r="P61" s="733">
        <f t="shared" si="8"/>
        <v>0</v>
      </c>
      <c r="Q61" s="733">
        <f t="shared" si="8"/>
        <v>0</v>
      </c>
      <c r="R61" s="733">
        <f ca="1">R46+R52+R56</f>
        <v>90110.892632706236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0.21065012496050761</v>
      </c>
      <c r="D63" s="776">
        <f t="shared" ca="1" si="9"/>
        <v>0.22364319317744924</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3193.0650000000001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3163.6887433155075</v>
      </c>
      <c r="C76" s="743">
        <f>'lokale energieproductie'!B8*IFERROR(SUM(D76:H76)/SUM(D76:O76),0)</f>
        <v>44765.811256684494</v>
      </c>
      <c r="D76" s="1021">
        <f>'lokale energieproductie'!C8</f>
        <v>51424.998049701164</v>
      </c>
      <c r="E76" s="1022">
        <f>'lokale energieproductie'!D8</f>
        <v>0</v>
      </c>
      <c r="F76" s="1022">
        <f>'lokale energieproductie'!E8</f>
        <v>1240.6622522805912</v>
      </c>
      <c r="G76" s="1022">
        <f>'lokale energieproductie'!F8</f>
        <v>0</v>
      </c>
      <c r="H76" s="1022">
        <f>'lokale energieproductie'!G8</f>
        <v>0</v>
      </c>
      <c r="I76" s="1022">
        <f>'lokale energieproductie'!I8</f>
        <v>3721.986756841774</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10719.106427398554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6356.7537433155076</v>
      </c>
      <c r="C78" s="748">
        <f>SUM(C72:C77)</f>
        <v>44765.811256684494</v>
      </c>
      <c r="D78" s="749">
        <f t="shared" ref="D78:H78" si="10">SUM(D76:D77)</f>
        <v>51424.998049701164</v>
      </c>
      <c r="E78" s="749">
        <f t="shared" si="10"/>
        <v>0</v>
      </c>
      <c r="F78" s="749">
        <f t="shared" si="10"/>
        <v>1240.6622522805912</v>
      </c>
      <c r="G78" s="749">
        <f t="shared" si="10"/>
        <v>0</v>
      </c>
      <c r="H78" s="749">
        <f t="shared" si="10"/>
        <v>0</v>
      </c>
      <c r="I78" s="749">
        <f>SUM(I76:I77)</f>
        <v>3721.986756841774</v>
      </c>
      <c r="J78" s="749">
        <f>SUM(J76:J77)</f>
        <v>0</v>
      </c>
      <c r="K78" s="749">
        <f t="shared" ref="K78:L78" si="11">SUM(K76:K77)</f>
        <v>0</v>
      </c>
      <c r="L78" s="749">
        <f t="shared" si="11"/>
        <v>0</v>
      </c>
      <c r="M78" s="749">
        <f>SUM(M76:M77)</f>
        <v>0</v>
      </c>
      <c r="N78" s="749">
        <f>SUM(N76:N77)</f>
        <v>0</v>
      </c>
      <c r="O78" s="856">
        <f>SUM(O76:O77)</f>
        <v>0</v>
      </c>
      <c r="P78" s="750">
        <v>0</v>
      </c>
      <c r="Q78" s="750">
        <f>SUM(Q76:Q77)</f>
        <v>10719.106427398554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4424.1550066844911</v>
      </c>
      <c r="C87" s="759">
        <f>'lokale energieproductie'!B17*IFERROR(SUM(D87:H87)/SUM(D87:O87),0)</f>
        <v>62601.255707601231</v>
      </c>
      <c r="D87" s="770">
        <f>'lokale energieproductie'!C17</f>
        <v>71913.573378870278</v>
      </c>
      <c r="E87" s="770">
        <f>'lokale energieproductie'!D17</f>
        <v>0</v>
      </c>
      <c r="F87" s="770">
        <f>'lokale energieproductie'!E17</f>
        <v>1734.9627477194085</v>
      </c>
      <c r="G87" s="770">
        <f>'lokale energieproductie'!F17</f>
        <v>0</v>
      </c>
      <c r="H87" s="770">
        <f>'lokale energieproductie'!G17</f>
        <v>0</v>
      </c>
      <c r="I87" s="770">
        <f>'lokale energieproductie'!I17</f>
        <v>5204.888243158226</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14989.776876172878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4424.1550066844911</v>
      </c>
      <c r="C90" s="748">
        <f>SUM(C87:C89)</f>
        <v>62601.255707601231</v>
      </c>
      <c r="D90" s="748">
        <f t="shared" ref="D90:H90" si="12">SUM(D87:D89)</f>
        <v>71913.573378870278</v>
      </c>
      <c r="E90" s="748">
        <f t="shared" si="12"/>
        <v>0</v>
      </c>
      <c r="F90" s="748">
        <f t="shared" si="12"/>
        <v>1734.9627477194085</v>
      </c>
      <c r="G90" s="748">
        <f t="shared" si="12"/>
        <v>0</v>
      </c>
      <c r="H90" s="748">
        <f t="shared" si="12"/>
        <v>0</v>
      </c>
      <c r="I90" s="748">
        <f>SUM(I87:I89)</f>
        <v>5204.888243158226</v>
      </c>
      <c r="J90" s="748">
        <f>SUM(J87:J89)</f>
        <v>0</v>
      </c>
      <c r="K90" s="748">
        <f t="shared" ref="K90:L90" si="13">SUM(K87:K89)</f>
        <v>0</v>
      </c>
      <c r="L90" s="748">
        <f t="shared" si="13"/>
        <v>0</v>
      </c>
      <c r="M90" s="748">
        <f>SUM(M87:M89)</f>
        <v>0</v>
      </c>
      <c r="N90" s="748">
        <f>SUM(N87:N89)</f>
        <v>0</v>
      </c>
      <c r="O90" s="748">
        <f>SUM(O87:O89)</f>
        <v>0</v>
      </c>
      <c r="P90" s="748">
        <v>0</v>
      </c>
      <c r="Q90" s="748">
        <f>SUM(Q87:Q89)</f>
        <v>14989.776876172878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32633.672040447102</v>
      </c>
      <c r="C4" s="462">
        <f>huishoudens!C8</f>
        <v>0</v>
      </c>
      <c r="D4" s="462">
        <f>huishoudens!D8</f>
        <v>58875.55082966201</v>
      </c>
      <c r="E4" s="462">
        <f>huishoudens!E8</f>
        <v>5169.8919367057006</v>
      </c>
      <c r="F4" s="462">
        <f>huishoudens!F8</f>
        <v>48199.320657057659</v>
      </c>
      <c r="G4" s="462">
        <f>huishoudens!G8</f>
        <v>0</v>
      </c>
      <c r="H4" s="462">
        <f>huishoudens!H8</f>
        <v>0</v>
      </c>
      <c r="I4" s="462">
        <f>huishoudens!I8</f>
        <v>0</v>
      </c>
      <c r="J4" s="462">
        <f>huishoudens!J8</f>
        <v>0</v>
      </c>
      <c r="K4" s="462">
        <f>huishoudens!K8</f>
        <v>0</v>
      </c>
      <c r="L4" s="462">
        <f>huishoudens!L8</f>
        <v>0</v>
      </c>
      <c r="M4" s="462">
        <f>huishoudens!M8</f>
        <v>0</v>
      </c>
      <c r="N4" s="462">
        <f>huishoudens!N8</f>
        <v>12690.300200635935</v>
      </c>
      <c r="O4" s="462">
        <f>huishoudens!O8</f>
        <v>179.78333333333333</v>
      </c>
      <c r="P4" s="463">
        <f>huishoudens!P8</f>
        <v>743.6</v>
      </c>
      <c r="Q4" s="464">
        <f>SUM(B4:P4)</f>
        <v>158492.11899784172</v>
      </c>
    </row>
    <row r="5" spans="1:17">
      <c r="A5" s="461" t="s">
        <v>156</v>
      </c>
      <c r="B5" s="462">
        <f ca="1">tertiair!B16</f>
        <v>13002.065389782025</v>
      </c>
      <c r="C5" s="462">
        <f ca="1">tertiair!C16</f>
        <v>0</v>
      </c>
      <c r="D5" s="462">
        <f ca="1">tertiair!D16</f>
        <v>41699.955934794059</v>
      </c>
      <c r="E5" s="462">
        <f>tertiair!E16</f>
        <v>209.89345009863683</v>
      </c>
      <c r="F5" s="462">
        <f ca="1">tertiair!F16</f>
        <v>2543.6773339597376</v>
      </c>
      <c r="G5" s="462">
        <f>tertiair!G16</f>
        <v>0</v>
      </c>
      <c r="H5" s="462">
        <f>tertiair!H16</f>
        <v>0</v>
      </c>
      <c r="I5" s="462">
        <f>tertiair!I16</f>
        <v>0</v>
      </c>
      <c r="J5" s="462">
        <f>tertiair!J16</f>
        <v>0</v>
      </c>
      <c r="K5" s="462">
        <f>tertiair!K16</f>
        <v>0</v>
      </c>
      <c r="L5" s="462">
        <f ca="1">tertiair!L16</f>
        <v>0</v>
      </c>
      <c r="M5" s="462">
        <f>tertiair!M16</f>
        <v>0</v>
      </c>
      <c r="N5" s="462">
        <f ca="1">tertiair!N16</f>
        <v>628.09908642326127</v>
      </c>
      <c r="O5" s="462">
        <f>tertiair!O16</f>
        <v>3.1266666666666669</v>
      </c>
      <c r="P5" s="463">
        <f>tertiair!P16</f>
        <v>38.133333333333333</v>
      </c>
      <c r="Q5" s="461">
        <f t="shared" ref="Q5:Q14" ca="1" si="0">SUM(B5:P5)</f>
        <v>58124.951195057707</v>
      </c>
    </row>
    <row r="6" spans="1:17">
      <c r="A6" s="461" t="s">
        <v>194</v>
      </c>
      <c r="B6" s="462">
        <f>'openbare verlichting'!B8</f>
        <v>996.74900000000002</v>
      </c>
      <c r="C6" s="462"/>
      <c r="D6" s="462"/>
      <c r="E6" s="462"/>
      <c r="F6" s="462"/>
      <c r="G6" s="462"/>
      <c r="H6" s="462"/>
      <c r="I6" s="462"/>
      <c r="J6" s="462"/>
      <c r="K6" s="462"/>
      <c r="L6" s="462"/>
      <c r="M6" s="462"/>
      <c r="N6" s="462"/>
      <c r="O6" s="462"/>
      <c r="P6" s="463"/>
      <c r="Q6" s="461">
        <f t="shared" si="0"/>
        <v>996.74900000000002</v>
      </c>
    </row>
    <row r="7" spans="1:17">
      <c r="A7" s="461" t="s">
        <v>112</v>
      </c>
      <c r="B7" s="462">
        <f>landbouw!B8</f>
        <v>2093.206653172866</v>
      </c>
      <c r="C7" s="462">
        <f>landbouw!C8</f>
        <v>67025.410714285725</v>
      </c>
      <c r="D7" s="462">
        <f>landbouw!D8</f>
        <v>0</v>
      </c>
      <c r="E7" s="462">
        <f>landbouw!E8</f>
        <v>26.37710042842135</v>
      </c>
      <c r="F7" s="462">
        <f>landbouw!F8</f>
        <v>4246.4623330459744</v>
      </c>
      <c r="G7" s="462">
        <f>landbouw!G8</f>
        <v>0</v>
      </c>
      <c r="H7" s="462">
        <f>landbouw!H8</f>
        <v>0</v>
      </c>
      <c r="I7" s="462">
        <f>landbouw!I8</f>
        <v>0</v>
      </c>
      <c r="J7" s="462">
        <f>landbouw!J8</f>
        <v>314.79448590376012</v>
      </c>
      <c r="K7" s="462">
        <f>landbouw!K8</f>
        <v>0</v>
      </c>
      <c r="L7" s="462">
        <f>landbouw!L8</f>
        <v>0</v>
      </c>
      <c r="M7" s="462">
        <f>landbouw!M8</f>
        <v>0</v>
      </c>
      <c r="N7" s="462">
        <f>landbouw!N8</f>
        <v>0</v>
      </c>
      <c r="O7" s="462">
        <f>landbouw!O8</f>
        <v>0</v>
      </c>
      <c r="P7" s="463">
        <f>landbouw!P8</f>
        <v>0</v>
      </c>
      <c r="Q7" s="461">
        <f t="shared" si="0"/>
        <v>73706.251286836748</v>
      </c>
    </row>
    <row r="8" spans="1:17">
      <c r="A8" s="461" t="s">
        <v>657</v>
      </c>
      <c r="B8" s="462">
        <f>industrie!B18</f>
        <v>6279.9621860441503</v>
      </c>
      <c r="C8" s="462">
        <f>industrie!C18</f>
        <v>0</v>
      </c>
      <c r="D8" s="462">
        <f>industrie!D18</f>
        <v>4554.0660762077678</v>
      </c>
      <c r="E8" s="462">
        <f>industrie!E18</f>
        <v>714.52592660313121</v>
      </c>
      <c r="F8" s="462">
        <f>industrie!F18</f>
        <v>3955.6957956941392</v>
      </c>
      <c r="G8" s="462">
        <f>industrie!G18</f>
        <v>0</v>
      </c>
      <c r="H8" s="462">
        <f>industrie!H18</f>
        <v>0</v>
      </c>
      <c r="I8" s="462">
        <f>industrie!I18</f>
        <v>0</v>
      </c>
      <c r="J8" s="462">
        <f>industrie!J18</f>
        <v>5.7752743595307496</v>
      </c>
      <c r="K8" s="462">
        <f>industrie!K18</f>
        <v>0</v>
      </c>
      <c r="L8" s="462">
        <f>industrie!L18</f>
        <v>0</v>
      </c>
      <c r="M8" s="462">
        <f>industrie!M18</f>
        <v>0</v>
      </c>
      <c r="N8" s="462">
        <f>industrie!N18</f>
        <v>1849.844318101608</v>
      </c>
      <c r="O8" s="462">
        <f>industrie!O18</f>
        <v>0</v>
      </c>
      <c r="P8" s="463">
        <f>industrie!P18</f>
        <v>0</v>
      </c>
      <c r="Q8" s="461">
        <f t="shared" si="0"/>
        <v>17359.869577010326</v>
      </c>
    </row>
    <row r="9" spans="1:17" s="467" customFormat="1">
      <c r="A9" s="465" t="s">
        <v>574</v>
      </c>
      <c r="B9" s="466">
        <f>transport!B14</f>
        <v>6.6163035663527765</v>
      </c>
      <c r="C9" s="466">
        <f>transport!C14</f>
        <v>0</v>
      </c>
      <c r="D9" s="466">
        <f>transport!D14</f>
        <v>10.64025686421232</v>
      </c>
      <c r="E9" s="466">
        <f>transport!E14</f>
        <v>326.99718503695703</v>
      </c>
      <c r="F9" s="466">
        <f>transport!F14</f>
        <v>0</v>
      </c>
      <c r="G9" s="466">
        <f>transport!G14</f>
        <v>74152.885365621289</v>
      </c>
      <c r="H9" s="466">
        <f>transport!H14</f>
        <v>15945.725270871595</v>
      </c>
      <c r="I9" s="466">
        <f>transport!I14</f>
        <v>0</v>
      </c>
      <c r="J9" s="466">
        <f>transport!J14</f>
        <v>0</v>
      </c>
      <c r="K9" s="466">
        <f>transport!K14</f>
        <v>0</v>
      </c>
      <c r="L9" s="466">
        <f>transport!L14</f>
        <v>0</v>
      </c>
      <c r="M9" s="466">
        <f>transport!M14</f>
        <v>4074.4070105175865</v>
      </c>
      <c r="N9" s="466">
        <f>transport!N14</f>
        <v>0</v>
      </c>
      <c r="O9" s="466">
        <f>transport!O14</f>
        <v>0</v>
      </c>
      <c r="P9" s="466">
        <f>transport!P14</f>
        <v>0</v>
      </c>
      <c r="Q9" s="465">
        <f>SUM(B9:P9)</f>
        <v>94517.271392477996</v>
      </c>
    </row>
    <row r="10" spans="1:17">
      <c r="A10" s="461" t="s">
        <v>564</v>
      </c>
      <c r="B10" s="462">
        <f>transport!B54</f>
        <v>0</v>
      </c>
      <c r="C10" s="462">
        <f>transport!C54</f>
        <v>0</v>
      </c>
      <c r="D10" s="462">
        <f>transport!D54</f>
        <v>0</v>
      </c>
      <c r="E10" s="462">
        <f>transport!E54</f>
        <v>0</v>
      </c>
      <c r="F10" s="462">
        <f>transport!F54</f>
        <v>0</v>
      </c>
      <c r="G10" s="462">
        <f>transport!G54</f>
        <v>1560.4886585516354</v>
      </c>
      <c r="H10" s="462">
        <f>transport!H54</f>
        <v>0</v>
      </c>
      <c r="I10" s="462">
        <f>transport!I54</f>
        <v>0</v>
      </c>
      <c r="J10" s="462">
        <f>transport!J54</f>
        <v>0</v>
      </c>
      <c r="K10" s="462">
        <f>transport!K54</f>
        <v>0</v>
      </c>
      <c r="L10" s="462">
        <f>transport!L54</f>
        <v>0</v>
      </c>
      <c r="M10" s="462">
        <f>transport!M54</f>
        <v>69.398747470559456</v>
      </c>
      <c r="N10" s="462">
        <f>transport!N54</f>
        <v>0</v>
      </c>
      <c r="O10" s="462">
        <f>transport!O54</f>
        <v>0</v>
      </c>
      <c r="P10" s="463">
        <f>transport!P54</f>
        <v>0</v>
      </c>
      <c r="Q10" s="461">
        <f t="shared" si="0"/>
        <v>1629.8874060221949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928.54272592451503</v>
      </c>
      <c r="C14" s="469"/>
      <c r="D14" s="469">
        <f>'SEAP template'!E25</f>
        <v>2957.5926802735398</v>
      </c>
      <c r="E14" s="469"/>
      <c r="F14" s="469"/>
      <c r="G14" s="469"/>
      <c r="H14" s="469"/>
      <c r="I14" s="469"/>
      <c r="J14" s="469"/>
      <c r="K14" s="469"/>
      <c r="L14" s="469"/>
      <c r="M14" s="469"/>
      <c r="N14" s="469"/>
      <c r="O14" s="469"/>
      <c r="P14" s="470"/>
      <c r="Q14" s="461">
        <f t="shared" si="0"/>
        <v>3886.1354061980546</v>
      </c>
    </row>
    <row r="15" spans="1:17" s="474" customFormat="1">
      <c r="A15" s="471" t="s">
        <v>568</v>
      </c>
      <c r="B15" s="472">
        <f ca="1">SUM(B4:B14)</f>
        <v>55940.81429893701</v>
      </c>
      <c r="C15" s="472">
        <f t="shared" ref="C15:Q15" ca="1" si="1">SUM(C4:C14)</f>
        <v>67025.410714285725</v>
      </c>
      <c r="D15" s="472">
        <f t="shared" ca="1" si="1"/>
        <v>108097.80577780158</v>
      </c>
      <c r="E15" s="472">
        <f t="shared" si="1"/>
        <v>6447.6855988728475</v>
      </c>
      <c r="F15" s="472">
        <f t="shared" ca="1" si="1"/>
        <v>58945.156119757507</v>
      </c>
      <c r="G15" s="472">
        <f t="shared" si="1"/>
        <v>75713.374024172925</v>
      </c>
      <c r="H15" s="472">
        <f t="shared" si="1"/>
        <v>15945.725270871595</v>
      </c>
      <c r="I15" s="472">
        <f t="shared" si="1"/>
        <v>0</v>
      </c>
      <c r="J15" s="472">
        <f t="shared" si="1"/>
        <v>320.56976026329085</v>
      </c>
      <c r="K15" s="472">
        <f t="shared" si="1"/>
        <v>0</v>
      </c>
      <c r="L15" s="472">
        <f t="shared" ca="1" si="1"/>
        <v>0</v>
      </c>
      <c r="M15" s="472">
        <f t="shared" si="1"/>
        <v>4143.8057579881461</v>
      </c>
      <c r="N15" s="472">
        <f t="shared" ca="1" si="1"/>
        <v>15168.243605160804</v>
      </c>
      <c r="O15" s="472">
        <f t="shared" si="1"/>
        <v>182.91</v>
      </c>
      <c r="P15" s="472">
        <f t="shared" si="1"/>
        <v>781.73333333333335</v>
      </c>
      <c r="Q15" s="472">
        <f t="shared" ca="1" si="1"/>
        <v>408713.23426144471</v>
      </c>
    </row>
    <row r="17" spans="1:17">
      <c r="A17" s="475" t="s">
        <v>569</v>
      </c>
      <c r="B17" s="781">
        <f ca="1">huishoudens!B10</f>
        <v>0.21065012496050761</v>
      </c>
      <c r="C17" s="781">
        <f ca="1">huishoudens!C10</f>
        <v>0.22364319317744924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6874.2870932404057</v>
      </c>
      <c r="C22" s="462">
        <f t="shared" ref="C22:C32" ca="1" si="3">C4*$C$17</f>
        <v>0</v>
      </c>
      <c r="D22" s="462">
        <f t="shared" ref="D22:D32" si="4">D4*$D$17</f>
        <v>11892.861267591727</v>
      </c>
      <c r="E22" s="462">
        <f t="shared" ref="E22:E32" si="5">E4*$E$17</f>
        <v>1173.565469632194</v>
      </c>
      <c r="F22" s="462">
        <f t="shared" ref="F22:F32" si="6">F4*$F$17</f>
        <v>12869.218615434396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32809.932445898725</v>
      </c>
    </row>
    <row r="23" spans="1:17">
      <c r="A23" s="461" t="s">
        <v>156</v>
      </c>
      <c r="B23" s="462">
        <f t="shared" ca="1" si="2"/>
        <v>2738.8866991022746</v>
      </c>
      <c r="C23" s="462">
        <f t="shared" ca="1" si="3"/>
        <v>0</v>
      </c>
      <c r="D23" s="462">
        <f t="shared" ca="1" si="4"/>
        <v>8423.3910988284006</v>
      </c>
      <c r="E23" s="462">
        <f t="shared" si="5"/>
        <v>47.645813172390561</v>
      </c>
      <c r="F23" s="462">
        <f t="shared" ca="1" si="6"/>
        <v>679.16184816725001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11889.085459270316</v>
      </c>
    </row>
    <row r="24" spans="1:17">
      <c r="A24" s="461" t="s">
        <v>194</v>
      </c>
      <c r="B24" s="462">
        <f t="shared" ca="1" si="2"/>
        <v>209.965301404261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209.965301404261</v>
      </c>
    </row>
    <row r="25" spans="1:17">
      <c r="A25" s="461" t="s">
        <v>112</v>
      </c>
      <c r="B25" s="462">
        <f t="shared" ca="1" si="2"/>
        <v>440.93424305903017</v>
      </c>
      <c r="C25" s="462">
        <f t="shared" ca="1" si="3"/>
        <v>14989.776876172878</v>
      </c>
      <c r="D25" s="462">
        <f t="shared" si="4"/>
        <v>0</v>
      </c>
      <c r="E25" s="462">
        <f t="shared" si="5"/>
        <v>5.9876017972516467</v>
      </c>
      <c r="F25" s="462">
        <f t="shared" si="6"/>
        <v>1133.8054429232752</v>
      </c>
      <c r="G25" s="462">
        <f t="shared" si="7"/>
        <v>0</v>
      </c>
      <c r="H25" s="462">
        <f t="shared" si="8"/>
        <v>0</v>
      </c>
      <c r="I25" s="462">
        <f t="shared" si="9"/>
        <v>0</v>
      </c>
      <c r="J25" s="462">
        <f t="shared" si="10"/>
        <v>111.43724800993108</v>
      </c>
      <c r="K25" s="462">
        <f t="shared" si="11"/>
        <v>0</v>
      </c>
      <c r="L25" s="462">
        <f t="shared" si="12"/>
        <v>0</v>
      </c>
      <c r="M25" s="462">
        <f t="shared" si="13"/>
        <v>0</v>
      </c>
      <c r="N25" s="462">
        <f t="shared" si="14"/>
        <v>0</v>
      </c>
      <c r="O25" s="462">
        <f t="shared" si="15"/>
        <v>0</v>
      </c>
      <c r="P25" s="463">
        <f t="shared" si="16"/>
        <v>0</v>
      </c>
      <c r="Q25" s="461">
        <f t="shared" ca="1" si="17"/>
        <v>16681.941411962365</v>
      </c>
    </row>
    <row r="26" spans="1:17">
      <c r="A26" s="461" t="s">
        <v>657</v>
      </c>
      <c r="B26" s="462">
        <f t="shared" ca="1" si="2"/>
        <v>1322.8748192374628</v>
      </c>
      <c r="C26" s="462">
        <f t="shared" ca="1" si="3"/>
        <v>0</v>
      </c>
      <c r="D26" s="462">
        <f t="shared" si="4"/>
        <v>919.9213473939692</v>
      </c>
      <c r="E26" s="462">
        <f t="shared" si="5"/>
        <v>162.19738533891078</v>
      </c>
      <c r="F26" s="462">
        <f t="shared" si="6"/>
        <v>1056.1707774503352</v>
      </c>
      <c r="G26" s="462">
        <f t="shared" si="7"/>
        <v>0</v>
      </c>
      <c r="H26" s="462">
        <f t="shared" si="8"/>
        <v>0</v>
      </c>
      <c r="I26" s="462">
        <f t="shared" si="9"/>
        <v>0</v>
      </c>
      <c r="J26" s="462">
        <f t="shared" si="10"/>
        <v>2.0444471232738852</v>
      </c>
      <c r="K26" s="462">
        <f t="shared" si="11"/>
        <v>0</v>
      </c>
      <c r="L26" s="462">
        <f t="shared" si="12"/>
        <v>0</v>
      </c>
      <c r="M26" s="462">
        <f t="shared" si="13"/>
        <v>0</v>
      </c>
      <c r="N26" s="462">
        <f t="shared" si="14"/>
        <v>0</v>
      </c>
      <c r="O26" s="462">
        <f t="shared" si="15"/>
        <v>0</v>
      </c>
      <c r="P26" s="463">
        <f t="shared" si="16"/>
        <v>0</v>
      </c>
      <c r="Q26" s="461">
        <f t="shared" ca="1" si="17"/>
        <v>3463.2087765439524</v>
      </c>
    </row>
    <row r="27" spans="1:17" s="467" customFormat="1">
      <c r="A27" s="465" t="s">
        <v>574</v>
      </c>
      <c r="B27" s="775">
        <f t="shared" ca="1" si="2"/>
        <v>1.3937251730288645</v>
      </c>
      <c r="C27" s="466">
        <f t="shared" ca="1" si="3"/>
        <v>0</v>
      </c>
      <c r="D27" s="466">
        <f t="shared" si="4"/>
        <v>2.1493318865708888</v>
      </c>
      <c r="E27" s="466">
        <f t="shared" si="5"/>
        <v>74.228361003389253</v>
      </c>
      <c r="F27" s="466">
        <f t="shared" si="6"/>
        <v>0</v>
      </c>
      <c r="G27" s="466">
        <f t="shared" si="7"/>
        <v>19798.820392620884</v>
      </c>
      <c r="H27" s="466">
        <f t="shared" si="8"/>
        <v>3970.4855924470271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23847.077403130901</v>
      </c>
    </row>
    <row r="28" spans="1:17">
      <c r="A28" s="461" t="s">
        <v>564</v>
      </c>
      <c r="B28" s="462">
        <f t="shared" ca="1" si="2"/>
        <v>0</v>
      </c>
      <c r="C28" s="462">
        <f t="shared" ca="1" si="3"/>
        <v>0</v>
      </c>
      <c r="D28" s="462">
        <f t="shared" si="4"/>
        <v>0</v>
      </c>
      <c r="E28" s="462">
        <f t="shared" si="5"/>
        <v>0</v>
      </c>
      <c r="F28" s="462">
        <f t="shared" si="6"/>
        <v>0</v>
      </c>
      <c r="G28" s="462">
        <f t="shared" si="7"/>
        <v>416.65047183328664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416.65047183328664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195.59764124716946</v>
      </c>
      <c r="C32" s="462">
        <f t="shared" ca="1" si="3"/>
        <v>0</v>
      </c>
      <c r="D32" s="462">
        <f t="shared" si="4"/>
        <v>597.43372141525504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793.0313626624245</v>
      </c>
    </row>
    <row r="33" spans="1:17" s="474" customFormat="1">
      <c r="A33" s="471" t="s">
        <v>568</v>
      </c>
      <c r="B33" s="472">
        <f ca="1">SUM(B22:B32)</f>
        <v>11783.939522463634</v>
      </c>
      <c r="C33" s="472">
        <f t="shared" ref="C33:Q33" ca="1" si="18">SUM(C22:C32)</f>
        <v>14989.776876172878</v>
      </c>
      <c r="D33" s="472">
        <f t="shared" ca="1" si="18"/>
        <v>21835.756767115927</v>
      </c>
      <c r="E33" s="472">
        <f t="shared" si="18"/>
        <v>1463.6246309441362</v>
      </c>
      <c r="F33" s="472">
        <f t="shared" ca="1" si="18"/>
        <v>15738.356683975258</v>
      </c>
      <c r="G33" s="472">
        <f t="shared" si="18"/>
        <v>20215.470864454172</v>
      </c>
      <c r="H33" s="472">
        <f t="shared" si="18"/>
        <v>3970.4855924470271</v>
      </c>
      <c r="I33" s="472">
        <f t="shared" si="18"/>
        <v>0</v>
      </c>
      <c r="J33" s="472">
        <f t="shared" si="18"/>
        <v>113.48169513320497</v>
      </c>
      <c r="K33" s="472">
        <f t="shared" si="18"/>
        <v>0</v>
      </c>
      <c r="L33" s="472">
        <f t="shared" ca="1" si="18"/>
        <v>0</v>
      </c>
      <c r="M33" s="472">
        <f t="shared" si="18"/>
        <v>0</v>
      </c>
      <c r="N33" s="472">
        <f t="shared" ca="1" si="18"/>
        <v>0</v>
      </c>
      <c r="O33" s="472">
        <f t="shared" si="18"/>
        <v>0</v>
      </c>
      <c r="P33" s="472">
        <f t="shared" si="18"/>
        <v>0</v>
      </c>
      <c r="Q33" s="472">
        <f t="shared" ca="1" si="18"/>
        <v>90110.892632706236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3193.0650000000001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3163.6887433155075</v>
      </c>
      <c r="C8" s="1047">
        <f>'SEAP template'!C76</f>
        <v>44765.811256684494</v>
      </c>
      <c r="D8" s="1047">
        <f>'SEAP template'!D76</f>
        <v>51424.998049701164</v>
      </c>
      <c r="E8" s="1047">
        <f>'SEAP template'!E76</f>
        <v>0</v>
      </c>
      <c r="F8" s="1047">
        <f>'SEAP template'!F76</f>
        <v>1240.6622522805912</v>
      </c>
      <c r="G8" s="1047">
        <f>'SEAP template'!G76</f>
        <v>0</v>
      </c>
      <c r="H8" s="1047">
        <f>'SEAP template'!H76</f>
        <v>0</v>
      </c>
      <c r="I8" s="1047">
        <f>'SEAP template'!I76</f>
        <v>3721.986756841774</v>
      </c>
      <c r="J8" s="1047">
        <f>'SEAP template'!J76</f>
        <v>0</v>
      </c>
      <c r="K8" s="1047">
        <f>'SEAP template'!K76</f>
        <v>0</v>
      </c>
      <c r="L8" s="1047">
        <f>'SEAP template'!L76</f>
        <v>0</v>
      </c>
      <c r="M8" s="1047">
        <f>'SEAP template'!M76</f>
        <v>0</v>
      </c>
      <c r="N8" s="1047">
        <f>'SEAP template'!N76</f>
        <v>0</v>
      </c>
      <c r="O8" s="1047">
        <f>'SEAP template'!O76</f>
        <v>0</v>
      </c>
      <c r="P8" s="1048">
        <f>'SEAP template'!Q76</f>
        <v>10719.106427398554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6356.7537433155076</v>
      </c>
      <c r="C10" s="1051">
        <f>SUM(C4:C9)</f>
        <v>44765.811256684494</v>
      </c>
      <c r="D10" s="1051">
        <f t="shared" ref="D10:H10" si="0">SUM(D8:D9)</f>
        <v>51424.998049701164</v>
      </c>
      <c r="E10" s="1051">
        <f t="shared" si="0"/>
        <v>0</v>
      </c>
      <c r="F10" s="1051">
        <f t="shared" si="0"/>
        <v>1240.6622522805912</v>
      </c>
      <c r="G10" s="1051">
        <f t="shared" si="0"/>
        <v>0</v>
      </c>
      <c r="H10" s="1051">
        <f t="shared" si="0"/>
        <v>0</v>
      </c>
      <c r="I10" s="1051">
        <f>SUM(I8:I9)</f>
        <v>3721.986756841774</v>
      </c>
      <c r="J10" s="1051">
        <f>SUM(J8:J9)</f>
        <v>0</v>
      </c>
      <c r="K10" s="1051">
        <f t="shared" ref="K10:L10" si="1">SUM(K8:K9)</f>
        <v>0</v>
      </c>
      <c r="L10" s="1051">
        <f t="shared" si="1"/>
        <v>0</v>
      </c>
      <c r="M10" s="1051">
        <f>SUM(M8:M9)</f>
        <v>0</v>
      </c>
      <c r="N10" s="1051">
        <f>SUM(N8:N9)</f>
        <v>0</v>
      </c>
      <c r="O10" s="1051">
        <f>SUM(O8:O9)</f>
        <v>0</v>
      </c>
      <c r="P10" s="1051">
        <f>SUM(P8:P9)</f>
        <v>10719.106427398554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0.21065012496050761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4424.1550066844911</v>
      </c>
      <c r="C17" s="1053">
        <f>'SEAP template'!C87</f>
        <v>62601.255707601231</v>
      </c>
      <c r="D17" s="1048">
        <f>'SEAP template'!D87</f>
        <v>71913.573378870278</v>
      </c>
      <c r="E17" s="1048">
        <f>'SEAP template'!E87</f>
        <v>0</v>
      </c>
      <c r="F17" s="1048">
        <f>'SEAP template'!F87</f>
        <v>1734.9627477194085</v>
      </c>
      <c r="G17" s="1048">
        <f>'SEAP template'!G87</f>
        <v>0</v>
      </c>
      <c r="H17" s="1048">
        <f>'SEAP template'!H87</f>
        <v>0</v>
      </c>
      <c r="I17" s="1048">
        <f>'SEAP template'!I87</f>
        <v>5204.888243158226</v>
      </c>
      <c r="J17" s="1048">
        <f>'SEAP template'!J87</f>
        <v>0</v>
      </c>
      <c r="K17" s="1048">
        <f>'SEAP template'!K87</f>
        <v>0</v>
      </c>
      <c r="L17" s="1048">
        <f>'SEAP template'!L87</f>
        <v>0</v>
      </c>
      <c r="M17" s="1048">
        <f>'SEAP template'!M87</f>
        <v>0</v>
      </c>
      <c r="N17" s="1048">
        <f>'SEAP template'!N87</f>
        <v>0</v>
      </c>
      <c r="O17" s="1048">
        <f>'SEAP template'!O87</f>
        <v>0</v>
      </c>
      <c r="P17" s="1048">
        <f>'SEAP template'!Q87</f>
        <v>14989.776876172878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4424.1550066844911</v>
      </c>
      <c r="C20" s="1051">
        <f>SUM(C17:C19)</f>
        <v>62601.255707601231</v>
      </c>
      <c r="D20" s="1051">
        <f t="shared" ref="D20:H20" si="2">SUM(D17:D19)</f>
        <v>71913.573378870278</v>
      </c>
      <c r="E20" s="1051">
        <f t="shared" si="2"/>
        <v>0</v>
      </c>
      <c r="F20" s="1051">
        <f t="shared" si="2"/>
        <v>1734.9627477194085</v>
      </c>
      <c r="G20" s="1051">
        <f t="shared" si="2"/>
        <v>0</v>
      </c>
      <c r="H20" s="1051">
        <f t="shared" si="2"/>
        <v>0</v>
      </c>
      <c r="I20" s="1051">
        <f>SUM(I17:I19)</f>
        <v>5204.888243158226</v>
      </c>
      <c r="J20" s="1051">
        <f>SUM(J17:J19)</f>
        <v>0</v>
      </c>
      <c r="K20" s="1051">
        <f t="shared" ref="K20:L20" si="3">SUM(K17:K19)</f>
        <v>0</v>
      </c>
      <c r="L20" s="1051">
        <f t="shared" si="3"/>
        <v>0</v>
      </c>
      <c r="M20" s="1051">
        <f>SUM(M17:M19)</f>
        <v>0</v>
      </c>
      <c r="N20" s="1051">
        <f>SUM(N17:N19)</f>
        <v>0</v>
      </c>
      <c r="O20" s="1051">
        <f>SUM(O17:O19)</f>
        <v>0</v>
      </c>
      <c r="P20" s="1051">
        <f>SUM(P17:P19)</f>
        <v>14989.776876172878</v>
      </c>
    </row>
    <row r="22" spans="1:16">
      <c r="A22" s="475" t="s">
        <v>895</v>
      </c>
      <c r="B22" s="781" t="s">
        <v>889</v>
      </c>
      <c r="C22" s="781">
        <f ca="1">'EF ele_warmte'!B22</f>
        <v>0.22364319317744924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0.21065012496050761</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0.21065012496050761</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0.21065012496050761</v>
      </c>
      <c r="C29" s="513">
        <f ca="1">'EF ele_warmte'!B22</f>
        <v>0.22364319317744924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7019</v>
      </c>
      <c r="C9" s="338">
        <v>7215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1449</v>
      </c>
    </row>
    <row r="15" spans="1:6">
      <c r="A15" s="1295" t="s">
        <v>184</v>
      </c>
      <c r="B15" s="335">
        <v>1</v>
      </c>
    </row>
    <row r="16" spans="1:6">
      <c r="A16" s="1295" t="s">
        <v>6</v>
      </c>
      <c r="B16" s="335">
        <v>242</v>
      </c>
    </row>
    <row r="17" spans="1:6">
      <c r="A17" s="1295" t="s">
        <v>7</v>
      </c>
      <c r="B17" s="335">
        <v>201</v>
      </c>
    </row>
    <row r="18" spans="1:6">
      <c r="A18" s="1295" t="s">
        <v>8</v>
      </c>
      <c r="B18" s="335">
        <v>431</v>
      </c>
    </row>
    <row r="19" spans="1:6">
      <c r="A19" s="1295" t="s">
        <v>9</v>
      </c>
      <c r="B19" s="335">
        <v>469</v>
      </c>
    </row>
    <row r="20" spans="1:6">
      <c r="A20" s="1295" t="s">
        <v>10</v>
      </c>
      <c r="B20" s="335">
        <v>263</v>
      </c>
    </row>
    <row r="21" spans="1:6">
      <c r="A21" s="1295" t="s">
        <v>11</v>
      </c>
      <c r="B21" s="335">
        <v>0</v>
      </c>
    </row>
    <row r="22" spans="1:6">
      <c r="A22" s="1295" t="s">
        <v>12</v>
      </c>
      <c r="B22" s="335">
        <v>731</v>
      </c>
    </row>
    <row r="23" spans="1:6">
      <c r="A23" s="1295" t="s">
        <v>13</v>
      </c>
      <c r="B23" s="335">
        <v>0</v>
      </c>
    </row>
    <row r="24" spans="1:6">
      <c r="A24" s="1295" t="s">
        <v>14</v>
      </c>
      <c r="B24" s="335">
        <v>0</v>
      </c>
    </row>
    <row r="25" spans="1:6">
      <c r="A25" s="1295" t="s">
        <v>15</v>
      </c>
      <c r="B25" s="335">
        <v>0</v>
      </c>
    </row>
    <row r="26" spans="1:6">
      <c r="A26" s="1295" t="s">
        <v>16</v>
      </c>
      <c r="B26" s="335">
        <v>275</v>
      </c>
    </row>
    <row r="27" spans="1:6">
      <c r="A27" s="1295" t="s">
        <v>17</v>
      </c>
      <c r="B27" s="335">
        <v>16</v>
      </c>
    </row>
    <row r="28" spans="1:6" s="341" customFormat="1">
      <c r="A28" s="1296" t="s">
        <v>18</v>
      </c>
      <c r="B28" s="1296">
        <v>26726</v>
      </c>
    </row>
    <row r="29" spans="1:6">
      <c r="A29" s="1296" t="s">
        <v>909</v>
      </c>
      <c r="B29" s="1296">
        <v>195</v>
      </c>
      <c r="C29" s="341"/>
      <c r="D29" s="341"/>
      <c r="E29" s="341"/>
      <c r="F29" s="341"/>
    </row>
    <row r="30" spans="1:6">
      <c r="A30" s="1291" t="s">
        <v>910</v>
      </c>
      <c r="B30" s="1291">
        <v>114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1121.1062823042</v>
      </c>
    </row>
    <row r="39" spans="1:6">
      <c r="A39" s="1295" t="s">
        <v>30</v>
      </c>
      <c r="B39" s="1295" t="s">
        <v>31</v>
      </c>
      <c r="C39" s="335">
        <v>3476</v>
      </c>
      <c r="D39" s="335">
        <v>65272229.301177397</v>
      </c>
      <c r="E39" s="335">
        <v>6964</v>
      </c>
      <c r="F39" s="335">
        <v>29784427.040447101</v>
      </c>
    </row>
    <row r="40" spans="1:6">
      <c r="A40" s="1295" t="s">
        <v>30</v>
      </c>
      <c r="B40" s="1295" t="s">
        <v>29</v>
      </c>
      <c r="C40" s="335">
        <v>0</v>
      </c>
      <c r="D40" s="335">
        <v>0</v>
      </c>
      <c r="E40" s="335">
        <v>0</v>
      </c>
      <c r="F40" s="335">
        <v>0</v>
      </c>
    </row>
    <row r="41" spans="1:6">
      <c r="A41" s="1295" t="s">
        <v>32</v>
      </c>
      <c r="B41" s="1295" t="s">
        <v>33</v>
      </c>
      <c r="C41" s="335">
        <v>34</v>
      </c>
      <c r="D41" s="335">
        <v>2255088.2858645702</v>
      </c>
      <c r="E41" s="335">
        <v>152</v>
      </c>
      <c r="F41" s="335">
        <v>1671140.6487676599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773226.94069354201</v>
      </c>
    </row>
    <row r="45" spans="1:6">
      <c r="A45" s="1295" t="s">
        <v>32</v>
      </c>
      <c r="B45" s="1295" t="s">
        <v>37</v>
      </c>
      <c r="C45" s="335">
        <v>0</v>
      </c>
      <c r="D45" s="335">
        <v>0</v>
      </c>
      <c r="E45" s="335">
        <v>3</v>
      </c>
      <c r="F45" s="335">
        <v>22742.583652735</v>
      </c>
    </row>
    <row r="46" spans="1:6">
      <c r="A46" s="1295" t="s">
        <v>32</v>
      </c>
      <c r="B46" s="1295" t="s">
        <v>38</v>
      </c>
      <c r="C46" s="335">
        <v>0</v>
      </c>
      <c r="D46" s="335">
        <v>0</v>
      </c>
      <c r="E46" s="335">
        <v>0</v>
      </c>
      <c r="F46" s="335">
        <v>0</v>
      </c>
    </row>
    <row r="47" spans="1:6">
      <c r="A47" s="1295" t="s">
        <v>32</v>
      </c>
      <c r="B47" s="1295" t="s">
        <v>39</v>
      </c>
      <c r="C47" s="335">
        <v>0</v>
      </c>
      <c r="D47" s="335">
        <v>0</v>
      </c>
      <c r="E47" s="335">
        <v>7</v>
      </c>
      <c r="F47" s="335">
        <v>204715.444219133</v>
      </c>
    </row>
    <row r="48" spans="1:6">
      <c r="A48" s="1295" t="s">
        <v>32</v>
      </c>
      <c r="B48" s="1295" t="s">
        <v>29</v>
      </c>
      <c r="C48" s="335">
        <v>19</v>
      </c>
      <c r="D48" s="335">
        <v>1830966.89866222</v>
      </c>
      <c r="E48" s="335">
        <v>25</v>
      </c>
      <c r="F48" s="335">
        <v>2197186.42504367</v>
      </c>
    </row>
    <row r="49" spans="1:6">
      <c r="A49" s="1295" t="s">
        <v>32</v>
      </c>
      <c r="B49" s="1295" t="s">
        <v>40</v>
      </c>
      <c r="C49" s="335">
        <v>0</v>
      </c>
      <c r="D49" s="335">
        <v>0</v>
      </c>
      <c r="E49" s="335">
        <v>0</v>
      </c>
      <c r="F49" s="335">
        <v>0</v>
      </c>
    </row>
    <row r="50" spans="1:6">
      <c r="A50" s="1295" t="s">
        <v>32</v>
      </c>
      <c r="B50" s="1295" t="s">
        <v>41</v>
      </c>
      <c r="C50" s="335">
        <v>8</v>
      </c>
      <c r="D50" s="335">
        <v>962798.55849734298</v>
      </c>
      <c r="E50" s="335">
        <v>20</v>
      </c>
      <c r="F50" s="335">
        <v>1410950.1436674099</v>
      </c>
    </row>
    <row r="51" spans="1:6">
      <c r="A51" s="1295" t="s">
        <v>42</v>
      </c>
      <c r="B51" s="1295" t="s">
        <v>43</v>
      </c>
      <c r="C51" s="335">
        <v>14</v>
      </c>
      <c r="D51" s="335">
        <v>102160375.023619</v>
      </c>
      <c r="E51" s="335">
        <v>88</v>
      </c>
      <c r="F51" s="335">
        <v>1934546.4749171699</v>
      </c>
    </row>
    <row r="52" spans="1:6">
      <c r="A52" s="1295" t="s">
        <v>42</v>
      </c>
      <c r="B52" s="1295" t="s">
        <v>29</v>
      </c>
      <c r="C52" s="335">
        <v>6</v>
      </c>
      <c r="D52" s="335">
        <v>851621.52250696602</v>
      </c>
      <c r="E52" s="335">
        <v>12</v>
      </c>
      <c r="F52" s="335">
        <v>158660.178255696</v>
      </c>
    </row>
    <row r="53" spans="1:6">
      <c r="A53" s="1295" t="s">
        <v>44</v>
      </c>
      <c r="B53" s="1295" t="s">
        <v>45</v>
      </c>
      <c r="C53" s="335">
        <v>86</v>
      </c>
      <c r="D53" s="335">
        <v>2957592.6802735399</v>
      </c>
      <c r="E53" s="335">
        <v>200</v>
      </c>
      <c r="F53" s="335">
        <v>928542.72592451505</v>
      </c>
    </row>
    <row r="54" spans="1:6">
      <c r="A54" s="1295" t="s">
        <v>46</v>
      </c>
      <c r="B54" s="1295" t="s">
        <v>47</v>
      </c>
      <c r="C54" s="335">
        <v>0</v>
      </c>
      <c r="D54" s="335">
        <v>0</v>
      </c>
      <c r="E54" s="335">
        <v>1</v>
      </c>
      <c r="F54" s="335">
        <v>996749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712070.21764766402</v>
      </c>
      <c r="E57" s="335">
        <v>67</v>
      </c>
      <c r="F57" s="335">
        <v>698228.07237077795</v>
      </c>
    </row>
    <row r="58" spans="1:6">
      <c r="A58" s="1295" t="s">
        <v>49</v>
      </c>
      <c r="B58" s="1295" t="s">
        <v>51</v>
      </c>
      <c r="C58" s="335">
        <v>3</v>
      </c>
      <c r="D58" s="335">
        <v>199009.96976345801</v>
      </c>
      <c r="E58" s="335">
        <v>17</v>
      </c>
      <c r="F58" s="335">
        <v>182536.809618192</v>
      </c>
    </row>
    <row r="59" spans="1:6">
      <c r="A59" s="1295" t="s">
        <v>49</v>
      </c>
      <c r="B59" s="1295" t="s">
        <v>52</v>
      </c>
      <c r="C59" s="335">
        <v>57</v>
      </c>
      <c r="D59" s="335">
        <v>2294194.1855076998</v>
      </c>
      <c r="E59" s="335">
        <v>194</v>
      </c>
      <c r="F59" s="335">
        <v>5432496.9582804199</v>
      </c>
    </row>
    <row r="60" spans="1:6">
      <c r="A60" s="1295" t="s">
        <v>49</v>
      </c>
      <c r="B60" s="1295" t="s">
        <v>53</v>
      </c>
      <c r="C60" s="335">
        <v>40</v>
      </c>
      <c r="D60" s="335">
        <v>1837608.0255253201</v>
      </c>
      <c r="E60" s="335">
        <v>76</v>
      </c>
      <c r="F60" s="335">
        <v>1718839.9151135101</v>
      </c>
    </row>
    <row r="61" spans="1:6">
      <c r="A61" s="1295" t="s">
        <v>49</v>
      </c>
      <c r="B61" s="1295" t="s">
        <v>54</v>
      </c>
      <c r="C61" s="335">
        <v>74</v>
      </c>
      <c r="D61" s="335">
        <v>4362800.9452309096</v>
      </c>
      <c r="E61" s="335">
        <v>220</v>
      </c>
      <c r="F61" s="335">
        <v>3240481.8761282698</v>
      </c>
    </row>
    <row r="62" spans="1:6">
      <c r="A62" s="1295" t="s">
        <v>49</v>
      </c>
      <c r="B62" s="1295" t="s">
        <v>55</v>
      </c>
      <c r="C62" s="335">
        <v>0</v>
      </c>
      <c r="D62" s="335">
        <v>0</v>
      </c>
      <c r="E62" s="335">
        <v>8</v>
      </c>
      <c r="F62" s="335">
        <v>196728.47284677401</v>
      </c>
    </row>
    <row r="63" spans="1:6">
      <c r="A63" s="1295" t="s">
        <v>49</v>
      </c>
      <c r="B63" s="1295" t="s">
        <v>29</v>
      </c>
      <c r="C63" s="335">
        <v>76</v>
      </c>
      <c r="D63" s="335">
        <v>36824866.473169804</v>
      </c>
      <c r="E63" s="335">
        <v>88</v>
      </c>
      <c r="F63" s="335">
        <v>1532753.28542408</v>
      </c>
    </row>
    <row r="64" spans="1:6">
      <c r="A64" s="1295" t="s">
        <v>56</v>
      </c>
      <c r="B64" s="1295" t="s">
        <v>57</v>
      </c>
      <c r="C64" s="335">
        <v>0</v>
      </c>
      <c r="D64" s="335">
        <v>0</v>
      </c>
      <c r="E64" s="335">
        <v>0</v>
      </c>
      <c r="F64" s="335">
        <v>0</v>
      </c>
    </row>
    <row r="65" spans="1:6">
      <c r="A65" s="1295" t="s">
        <v>56</v>
      </c>
      <c r="B65" s="1295" t="s">
        <v>29</v>
      </c>
      <c r="C65" s="335">
        <v>3</v>
      </c>
      <c r="D65" s="335">
        <v>171418.11648743699</v>
      </c>
      <c r="E65" s="335">
        <v>2</v>
      </c>
      <c r="F65" s="335">
        <v>8825.5969586205993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142135.71949302801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100149932</v>
      </c>
      <c r="E73" s="335">
        <v>104539095.31530625</v>
      </c>
    </row>
    <row r="74" spans="1:6">
      <c r="A74" s="1295" t="s">
        <v>64</v>
      </c>
      <c r="B74" s="1295" t="s">
        <v>727</v>
      </c>
      <c r="C74" s="1295" t="s">
        <v>728</v>
      </c>
      <c r="D74" s="335">
        <v>6020633.5917709814</v>
      </c>
      <c r="E74" s="335">
        <v>6461506.4001504732</v>
      </c>
    </row>
    <row r="75" spans="1:6">
      <c r="A75" s="1295" t="s">
        <v>65</v>
      </c>
      <c r="B75" s="1295" t="s">
        <v>725</v>
      </c>
      <c r="C75" s="1295" t="s">
        <v>729</v>
      </c>
      <c r="D75" s="335">
        <v>21019032</v>
      </c>
      <c r="E75" s="335">
        <v>21940216.220402453</v>
      </c>
    </row>
    <row r="76" spans="1:6">
      <c r="A76" s="1295" t="s">
        <v>65</v>
      </c>
      <c r="B76" s="1295" t="s">
        <v>727</v>
      </c>
      <c r="C76" s="1295" t="s">
        <v>730</v>
      </c>
      <c r="D76" s="335">
        <v>134953.59177098115</v>
      </c>
      <c r="E76" s="335">
        <v>161910.81139416044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430596.81645803771</v>
      </c>
      <c r="C83" s="335">
        <v>425401.62145523354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2849.2449999999999</v>
      </c>
    </row>
    <row r="92" spans="1:6">
      <c r="A92" s="1291" t="s">
        <v>69</v>
      </c>
      <c r="B92" s="338">
        <v>343.82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1455</v>
      </c>
    </row>
    <row r="98" spans="1:6">
      <c r="A98" s="1295" t="s">
        <v>72</v>
      </c>
      <c r="B98" s="335">
        <v>17</v>
      </c>
    </row>
    <row r="99" spans="1:6">
      <c r="A99" s="1295" t="s">
        <v>73</v>
      </c>
      <c r="B99" s="335">
        <v>84</v>
      </c>
    </row>
    <row r="100" spans="1:6">
      <c r="A100" s="1295" t="s">
        <v>74</v>
      </c>
      <c r="B100" s="335">
        <v>402</v>
      </c>
    </row>
    <row r="101" spans="1:6">
      <c r="A101" s="1295" t="s">
        <v>75</v>
      </c>
      <c r="B101" s="335">
        <v>55</v>
      </c>
    </row>
    <row r="102" spans="1:6">
      <c r="A102" s="1295" t="s">
        <v>76</v>
      </c>
      <c r="B102" s="335">
        <v>81</v>
      </c>
    </row>
    <row r="103" spans="1:6">
      <c r="A103" s="1295" t="s">
        <v>77</v>
      </c>
      <c r="B103" s="335">
        <v>190</v>
      </c>
    </row>
    <row r="104" spans="1:6">
      <c r="A104" s="1295" t="s">
        <v>78</v>
      </c>
      <c r="B104" s="335">
        <v>3725</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99</v>
      </c>
    </row>
    <row r="130" spans="1:6">
      <c r="A130" s="1295" t="s">
        <v>295</v>
      </c>
      <c r="B130" s="335">
        <v>2</v>
      </c>
    </row>
    <row r="131" spans="1:6">
      <c r="A131" s="1295" t="s">
        <v>296</v>
      </c>
      <c r="B131" s="335">
        <v>2</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55940.81429893701</v>
      </c>
      <c r="C3" s="43" t="s">
        <v>170</v>
      </c>
      <c r="D3" s="43"/>
      <c r="E3" s="156"/>
      <c r="F3" s="43"/>
      <c r="G3" s="43"/>
      <c r="H3" s="43"/>
      <c r="I3" s="43"/>
      <c r="J3" s="43"/>
      <c r="K3" s="96"/>
    </row>
    <row r="4" spans="1:11">
      <c r="A4" s="366" t="s">
        <v>171</v>
      </c>
      <c r="B4" s="49">
        <f>IF(ISERROR('SEAP template'!B78+'SEAP template'!C78),0,'SEAP template'!B78+'SEAP template'!C78)</f>
        <v>51122.565000000002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10719.106427398554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0.21065012496050761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14989.776876172878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67025.410714285725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0.22364319317744924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996.74900000000002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0.21065012496050761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209.965301404261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B46*B57</f>
        <v>5169.8919367057006</v>
      </c>
      <c r="F5" s="17">
        <f>B51*B62</f>
        <v>48199.320657057659</v>
      </c>
      <c r="G5" s="18"/>
      <c r="H5" s="17"/>
      <c r="I5" s="17"/>
      <c r="J5" s="17">
        <f>B50*B61+C50*C61</f>
        <v>0</v>
      </c>
      <c r="K5" s="17"/>
      <c r="L5" s="17"/>
      <c r="M5" s="17"/>
      <c r="N5" s="17">
        <f>B48*B59+C48*C59</f>
        <v>12690.300200635935</v>
      </c>
      <c r="O5" s="17">
        <f>B69*B70*B71</f>
        <v>179.78333333333333</v>
      </c>
      <c r="P5" s="17">
        <f>B77*B78*B79/1000-B77*B78*B79/1000/B80</f>
        <v>743.6</v>
      </c>
    </row>
    <row r="6" spans="1:16">
      <c r="A6" s="16" t="s">
        <v>634</v>
      </c>
      <c r="B6" s="783">
        <f>kWh_PV_kleiner_dan_10kW</f>
        <v>2849.2449999999999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32633.672040447102</v>
      </c>
      <c r="C8" s="21">
        <f>C5</f>
        <v>0</v>
      </c>
      <c r="D8" s="21">
        <f>D5</f>
        <v>58875.55082966201</v>
      </c>
      <c r="E8" s="21">
        <f>E5</f>
        <v>5169.8919367057006</v>
      </c>
      <c r="F8" s="21">
        <f>F5</f>
        <v>48199.320657057659</v>
      </c>
      <c r="G8" s="21"/>
      <c r="H8" s="21"/>
      <c r="I8" s="21"/>
      <c r="J8" s="21">
        <f>J5</f>
        <v>0</v>
      </c>
      <c r="K8" s="21"/>
      <c r="L8" s="21">
        <f>L5</f>
        <v>0</v>
      </c>
      <c r="M8" s="21">
        <f>M5</f>
        <v>0</v>
      </c>
      <c r="N8" s="21">
        <f>N5</f>
        <v>12690.300200635935</v>
      </c>
      <c r="O8" s="21">
        <f>O5</f>
        <v>179.78333333333333</v>
      </c>
      <c r="P8" s="21">
        <f>P5</f>
        <v>743.6</v>
      </c>
    </row>
    <row r="9" spans="1:16">
      <c r="B9" s="19"/>
      <c r="C9" s="19"/>
      <c r="D9" s="261"/>
      <c r="E9" s="19"/>
      <c r="F9" s="19"/>
      <c r="G9" s="19"/>
      <c r="H9" s="19"/>
      <c r="I9" s="19"/>
      <c r="J9" s="19"/>
      <c r="K9" s="19"/>
      <c r="L9" s="19"/>
      <c r="M9" s="19"/>
      <c r="N9" s="19"/>
      <c r="O9" s="19"/>
      <c r="P9" s="19"/>
    </row>
    <row r="10" spans="1:16">
      <c r="A10" s="24" t="s">
        <v>214</v>
      </c>
      <c r="B10" s="25">
        <f ca="1">'EF ele_warmte'!B12</f>
        <v>0.21065012496050761</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6874.2870932404057</v>
      </c>
      <c r="C12" s="23">
        <f ca="1">C10*C8</f>
        <v>0</v>
      </c>
      <c r="D12" s="23">
        <f>D8*D10</f>
        <v>11892.861267591727</v>
      </c>
      <c r="E12" s="23">
        <f>E10*E8</f>
        <v>1173.565469632194</v>
      </c>
      <c r="F12" s="23">
        <f>F10*F8</f>
        <v>12869.218615434396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1455</v>
      </c>
      <c r="C18" s="168" t="s">
        <v>111</v>
      </c>
      <c r="D18" s="230"/>
      <c r="E18" s="15"/>
    </row>
    <row r="19" spans="1:7">
      <c r="A19" s="173" t="s">
        <v>72</v>
      </c>
      <c r="B19" s="37">
        <f>aantalw2001_ander</f>
        <v>17</v>
      </c>
      <c r="C19" s="168" t="s">
        <v>111</v>
      </c>
      <c r="D19" s="231"/>
      <c r="E19" s="15"/>
    </row>
    <row r="20" spans="1:7">
      <c r="A20" s="173" t="s">
        <v>73</v>
      </c>
      <c r="B20" s="37">
        <f>aantalw2001_propaan</f>
        <v>84</v>
      </c>
      <c r="C20" s="169">
        <f>IF(ISERROR(B20/SUM($B$20,$B$21,$B$22)*100),0,B20/SUM($B$20,$B$21,$B$22)*100)</f>
        <v>15.526802218114602</v>
      </c>
      <c r="D20" s="231"/>
      <c r="E20" s="15"/>
    </row>
    <row r="21" spans="1:7">
      <c r="A21" s="173" t="s">
        <v>74</v>
      </c>
      <c r="B21" s="37">
        <f>aantalw2001_elektriciteit</f>
        <v>402</v>
      </c>
      <c r="C21" s="169">
        <f>IF(ISERROR(B21/SUM($B$20,$B$21,$B$22)*100),0,B21/SUM($B$20,$B$21,$B$22)*100)</f>
        <v>74.306839186691306</v>
      </c>
      <c r="D21" s="231"/>
      <c r="E21" s="15"/>
    </row>
    <row r="22" spans="1:7">
      <c r="A22" s="173" t="s">
        <v>75</v>
      </c>
      <c r="B22" s="37">
        <f>aantalw2001_hout</f>
        <v>55</v>
      </c>
      <c r="C22" s="169">
        <f>IF(ISERROR(B22/SUM($B$20,$B$21,$B$22)*100),0,B22/SUM($B$20,$B$21,$B$22)*100)</f>
        <v>10.166358595194085</v>
      </c>
      <c r="D22" s="231"/>
      <c r="E22" s="15"/>
    </row>
    <row r="23" spans="1:7">
      <c r="A23" s="173" t="s">
        <v>76</v>
      </c>
      <c r="B23" s="37">
        <f>aantalw2001_niet_gespec</f>
        <v>81</v>
      </c>
      <c r="C23" s="168" t="s">
        <v>111</v>
      </c>
      <c r="D23" s="230"/>
      <c r="E23" s="15"/>
    </row>
    <row r="24" spans="1:7">
      <c r="A24" s="173" t="s">
        <v>77</v>
      </c>
      <c r="B24" s="37">
        <f>aantalw2001_steenkool</f>
        <v>190</v>
      </c>
      <c r="C24" s="168" t="s">
        <v>111</v>
      </c>
      <c r="D24" s="231"/>
      <c r="E24" s="15"/>
    </row>
    <row r="25" spans="1:7">
      <c r="A25" s="173" t="s">
        <v>78</v>
      </c>
      <c r="B25" s="37">
        <f>aantalw2001_stookolie</f>
        <v>3725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7019</v>
      </c>
      <c r="C28" s="36"/>
      <c r="D28" s="230"/>
    </row>
    <row r="29" spans="1:7" s="15" customFormat="1">
      <c r="A29" s="232" t="s">
        <v>746</v>
      </c>
      <c r="B29" s="37">
        <f>SUM(HH_hh_gas_aantal,HH_rest_gas_aantal)</f>
        <v>3476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3476</v>
      </c>
      <c r="C32" s="169">
        <f>IF(ISERROR(B32/SUM($B$32,$B$34,$B$35,$B$36,$B$38,$B$39)*100),0,B32/SUM($B$32,$B$34,$B$35,$B$36,$B$38,$B$39)*100)</f>
        <v>49.799426934097426</v>
      </c>
      <c r="D32" s="235"/>
      <c r="G32" s="15"/>
    </row>
    <row r="33" spans="1:7">
      <c r="A33" s="173" t="s">
        <v>72</v>
      </c>
      <c r="B33" s="34" t="s">
        <v>111</v>
      </c>
      <c r="C33" s="169"/>
      <c r="D33" s="235"/>
      <c r="G33" s="15"/>
    </row>
    <row r="34" spans="1:7">
      <c r="A34" s="173" t="s">
        <v>73</v>
      </c>
      <c r="B34" s="33">
        <f>IF((($B$28-$B$32-$B$39-$B$77-$B$38)*C20/100)&lt;0,0,($B$28-$B$32-$B$39-$B$77-$B$38)*C20/100)</f>
        <v>248.10277264325322</v>
      </c>
      <c r="C34" s="169">
        <f>IF(ISERROR(B34/SUM($B$32,$B$34,$B$35,$B$36,$B$38,$B$39)*100),0,B34/SUM($B$32,$B$34,$B$35,$B$36,$B$38,$B$39)*100)</f>
        <v>3.5544809834276965</v>
      </c>
      <c r="D34" s="235"/>
      <c r="G34" s="15"/>
    </row>
    <row r="35" spans="1:7">
      <c r="A35" s="173" t="s">
        <v>74</v>
      </c>
      <c r="B35" s="33">
        <f>IF((($B$28-$B$32-$B$39-$B$77-$B$38)*C21/100)&lt;0,0,($B$28-$B$32-$B$39-$B$77-$B$38)*C21/100)</f>
        <v>1187.3489833641404</v>
      </c>
      <c r="C35" s="169">
        <f>IF(ISERROR(B35/SUM($B$32,$B$34,$B$35,$B$36,$B$38,$B$39)*100),0,B35/SUM($B$32,$B$34,$B$35,$B$36,$B$38,$B$39)*100)</f>
        <v>17.01073042068969</v>
      </c>
      <c r="D35" s="235"/>
      <c r="G35" s="15"/>
    </row>
    <row r="36" spans="1:7">
      <c r="A36" s="173" t="s">
        <v>75</v>
      </c>
      <c r="B36" s="33">
        <f>IF((($B$28-$B$32-$B$39-$B$77-$B$38)*C22/100)&lt;0,0,($B$28-$B$32-$B$39-$B$77-$B$38)*C22/100)</f>
        <v>162.44824399260631</v>
      </c>
      <c r="C36" s="169">
        <f>IF(ISERROR(B36/SUM($B$32,$B$34,$B$35,$B$36,$B$38,$B$39)*100),0,B36/SUM($B$32,$B$34,$B$35,$B$36,$B$38,$B$39)*100)</f>
        <v>2.3273387391490874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1906.1</v>
      </c>
      <c r="C39" s="169">
        <f>IF(ISERROR(B39/SUM($B$32,$B$34,$B$35,$B$36,$B$38,$B$39)*100),0,B39/SUM($B$32,$B$34,$B$35,$B$36,$B$38,$B$39)*100)</f>
        <v>27.308022922636098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3476</v>
      </c>
      <c r="C44" s="34" t="s">
        <v>111</v>
      </c>
      <c r="D44" s="176"/>
    </row>
    <row r="45" spans="1:7">
      <c r="A45" s="173" t="s">
        <v>72</v>
      </c>
      <c r="B45" s="33" t="str">
        <f t="shared" si="0"/>
        <v>-</v>
      </c>
      <c r="C45" s="34" t="s">
        <v>111</v>
      </c>
      <c r="D45" s="176"/>
    </row>
    <row r="46" spans="1:7">
      <c r="A46" s="173" t="s">
        <v>73</v>
      </c>
      <c r="B46" s="33">
        <f t="shared" si="0"/>
        <v>248.10277264325322</v>
      </c>
      <c r="C46" s="34" t="s">
        <v>111</v>
      </c>
      <c r="D46" s="176"/>
    </row>
    <row r="47" spans="1:7">
      <c r="A47" s="173" t="s">
        <v>74</v>
      </c>
      <c r="B47" s="33">
        <f t="shared" si="0"/>
        <v>1187.3489833641404</v>
      </c>
      <c r="C47" s="34" t="s">
        <v>111</v>
      </c>
      <c r="D47" s="176"/>
    </row>
    <row r="48" spans="1:7">
      <c r="A48" s="173" t="s">
        <v>75</v>
      </c>
      <c r="B48" s="33">
        <f t="shared" si="0"/>
        <v>162.44824399260631</v>
      </c>
      <c r="C48" s="33">
        <f>B48*10</f>
        <v>1624.4824399260631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54</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53</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52</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51</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50</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55</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0.21065012496050761</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2738.8866991022746</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3240.48187612827</v>
      </c>
      <c r="C26" s="39">
        <f>IF(ISERROR(B26*3.6/1000000/'E Balans VL '!Z12*100),0,B26*3.6/1000000/'E Balans VL '!Z12*100)</f>
        <v>6.8829440175022349E-2</v>
      </c>
      <c r="D26" s="239" t="s">
        <v>692</v>
      </c>
      <c r="F26" s="6"/>
    </row>
    <row r="27" spans="1:18">
      <c r="A27" s="233" t="s">
        <v>53</v>
      </c>
      <c r="B27" s="33">
        <f>IF(ISERROR(TER_horeca_ele_kWh/1000),0,TER_horeca_ele_kWh/1000)</f>
        <v>1718.8399151135102</v>
      </c>
      <c r="C27" s="39">
        <f>IF(ISERROR(B27*3.6/1000000/'E Balans VL '!Z9*100),0,B27*3.6/1000000/'E Balans VL '!Z9*100)</f>
        <v>0.13365027126973639</v>
      </c>
      <c r="D27" s="239" t="s">
        <v>692</v>
      </c>
      <c r="F27" s="6"/>
    </row>
    <row r="28" spans="1:18">
      <c r="A28" s="173" t="s">
        <v>52</v>
      </c>
      <c r="B28" s="33">
        <f>IF(ISERROR(TER_handel_ele_kWh/1000),0,TER_handel_ele_kWh/1000)</f>
        <v>5432.4969582804197</v>
      </c>
      <c r="C28" s="39">
        <f>IF(ISERROR(B28*3.6/1000000/'E Balans VL '!Z13*100),0,B28*3.6/1000000/'E Balans VL '!Z13*100)</f>
        <v>0.15543013138575748</v>
      </c>
      <c r="D28" s="239" t="s">
        <v>692</v>
      </c>
      <c r="F28" s="6"/>
    </row>
    <row r="29" spans="1:18">
      <c r="A29" s="233" t="s">
        <v>51</v>
      </c>
      <c r="B29" s="33">
        <f>IF(ISERROR(TER_gezond_ele_kWh/1000),0,TER_gezond_ele_kWh/1000)</f>
        <v>182.536809618192</v>
      </c>
      <c r="C29" s="39">
        <f>IF(ISERROR(B29*3.6/1000000/'E Balans VL '!Z10*100),0,B29*3.6/1000000/'E Balans VL '!Z10*100)</f>
        <v>1.9900753895130015E-2</v>
      </c>
      <c r="D29" s="239" t="s">
        <v>692</v>
      </c>
      <c r="F29" s="6"/>
    </row>
    <row r="30" spans="1:18">
      <c r="A30" s="233" t="s">
        <v>50</v>
      </c>
      <c r="B30" s="33">
        <f>IF(ISERROR(TER_ander_ele_kWh/1000),0,TER_ander_ele_kWh/1000)</f>
        <v>698.22807237077791</v>
      </c>
      <c r="C30" s="39">
        <f>IF(ISERROR(B30*3.6/1000000/'E Balans VL '!Z14*100),0,B30*3.6/1000000/'E Balans VL '!Z14*100)</f>
        <v>5.1094746443258246E-2</v>
      </c>
      <c r="D30" s="239" t="s">
        <v>692</v>
      </c>
      <c r="F30" s="6"/>
    </row>
    <row r="31" spans="1:18">
      <c r="A31" s="233" t="s">
        <v>55</v>
      </c>
      <c r="B31" s="33">
        <f>IF(ISERROR(TER_onderwijs_ele_kWh/1000),0,TER_onderwijs_ele_kWh/1000)</f>
        <v>196.728472846774</v>
      </c>
      <c r="C31" s="39">
        <f>IF(ISERROR(B31*3.6/1000000/'E Balans VL '!Z11*100),0,B31*3.6/1000000/'E Balans VL '!Z11*100)</f>
        <v>3.9513059857810159E-2</v>
      </c>
      <c r="D31" s="239" t="s">
        <v>692</v>
      </c>
    </row>
    <row r="32" spans="1:18">
      <c r="A32" s="233" t="s">
        <v>260</v>
      </c>
      <c r="B32" s="33">
        <f>IF(ISERROR(TER_rest_ele_kWh/1000),0,TER_rest_ele_kWh/1000)</f>
        <v>1532.7532854240799</v>
      </c>
      <c r="C32" s="39">
        <f>IF(ISERROR(B32*3.6/1000000/'E Balans VL '!Z8*100),0,B32*3.6/1000000/'E Balans VL '!Z8*100)</f>
        <v>1.2491009095499057E-2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1849.844318101608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33</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545.59966179990158</v>
      </c>
      <c r="O9" s="33"/>
      <c r="P9" s="33"/>
      <c r="R9" s="32"/>
    </row>
    <row r="10" spans="1:18">
      <c r="A10" s="6" t="s">
        <v>41</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39</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437.55789446955976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431.20470686516251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1849.844318101608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0.21065012496050761</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1322.8748192374628</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773.22694069354202</v>
      </c>
      <c r="C30" s="39">
        <f>IF(ISERROR(B30*3.6/1000000/'E Balans VL '!Z18*100),0,B30*3.6/1000000/'E Balans VL '!Z18*100)</f>
        <v>7.6083557126128173E-2</v>
      </c>
      <c r="D30" s="239" t="s">
        <v>692</v>
      </c>
    </row>
    <row r="31" spans="1:18">
      <c r="A31" s="6" t="s">
        <v>33</v>
      </c>
      <c r="B31" s="37">
        <f>IF( ISERROR(IND_ander_ele_kWh/1000),0,IND_ander_ele_kWh/1000)</f>
        <v>1671.14064876766</v>
      </c>
      <c r="C31" s="39">
        <f>IF(ISERROR(B31*3.6/1000000/'E Balans VL '!Z19*100),0,B31*3.6/1000000/'E Balans VL '!Z19*100)</f>
        <v>7.2776842198067543E-2</v>
      </c>
      <c r="D31" s="239" t="s">
        <v>692</v>
      </c>
    </row>
    <row r="32" spans="1:18">
      <c r="A32" s="173" t="s">
        <v>41</v>
      </c>
      <c r="B32" s="37">
        <f>IF( ISERROR(IND_voed_ele_kWh/1000),0,IND_voed_ele_kWh/1000)</f>
        <v>1410.95014366741</v>
      </c>
      <c r="C32" s="39">
        <f>IF(ISERROR(B32*3.6/1000000/'E Balans VL '!Z20*100),0,B32*3.6/1000000/'E Balans VL '!Z20*100)</f>
        <v>0.26770744164620897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22.742583652735</v>
      </c>
      <c r="C34" s="39">
        <f>IF(ISERROR(B34*3.6/1000000/'E Balans VL '!Z22*100),0,B34*3.6/1000000/'E Balans VL '!Z22*100)</f>
        <v>3.197835635481251E-3</v>
      </c>
      <c r="D34" s="239" t="s">
        <v>692</v>
      </c>
    </row>
    <row r="35" spans="1:5">
      <c r="A35" s="173" t="s">
        <v>39</v>
      </c>
      <c r="B35" s="37">
        <f>IF( ISERROR(IND_papier_ele_kWh/1000),0,IND_papier_ele_kWh/1000)</f>
        <v>204.71544421913299</v>
      </c>
      <c r="C35" s="39">
        <f>IF(ISERROR(B35*3.6/1000000/'E Balans VL '!Z22*100),0,B35*3.6/1000000/'E Balans VL '!Z22*100)</f>
        <v>2.8785047145625894E-2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2197.1864250436702</v>
      </c>
      <c r="C37" s="39">
        <f>IF(ISERROR(B37*3.6/1000000/'E Balans VL '!Z15*100),0,B37*3.6/1000000/'E Balans VL '!Z15*100)</f>
        <v>1.6932020106170793E-2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2093.206653172866</v>
      </c>
      <c r="C5" s="17">
        <f>'Eigen informatie GS &amp; warmtenet'!B60</f>
        <v>0</v>
      </c>
      <c r="D5" s="30">
        <f>IF(ISERROR(SUM(LB_lb_gas_kWh,LB_rest_gas_kWh)/1000),0,SUM(LB_lb_gas_kWh,LB_rest_gas_kWh)/1000)*0.902</f>
        <v>92916.820884605608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497</v>
      </c>
      <c r="B6" s="17" t="s">
        <v>211</v>
      </c>
      <c r="C6" s="17">
        <f>'lokale energieproductie'!O92+'lokale energieproductie'!O61</f>
        <v>67025.410714285725</v>
      </c>
      <c r="D6" s="312">
        <f>('lokale energieproductie'!P61+'lokale energieproductie'!P92)*(-1)</f>
        <v>-123338.57142857145</v>
      </c>
      <c r="E6" s="250"/>
      <c r="F6" s="312">
        <f>('lokale energieproductie'!S61+'lokale energieproductie'!S92)*(-1)</f>
        <v>-2975.625</v>
      </c>
      <c r="G6" s="251"/>
      <c r="H6" s="250"/>
      <c r="I6" s="250"/>
      <c r="J6" s="250"/>
      <c r="K6" s="250"/>
      <c r="L6" s="312">
        <f>('lokale energieproductie'!T61+'lokale energieproductie'!U61+'lokale energieproductie'!T92+'lokale energieproductie'!U92)*(-1)</f>
        <v>-8926.875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0.21065012496050761</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440.93424305903017</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0.29193635407345597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109.79674299279785</v>
      </c>
      <c r="C26" s="249">
        <f>B26*'GWP N2O_CH4'!B5</f>
        <v>2305.7316028487548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19.9943511849307</v>
      </c>
      <c r="C27" s="249">
        <f>B27*'GWP N2O_CH4'!B5</f>
        <v>419.88137488354471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9">
        <f>B28*'GWP N2O_CH4'!B4</f>
        <v>481.7046682038345</v>
      </c>
      <c r="D28" s="50"/>
    </row>
    <row r="29" spans="1:4">
      <c r="A29" s="41" t="s">
        <v>277</v>
      </c>
      <c r="B29" s="249">
        <f>B34*'ha_N2O bodem landbouw'!B4</f>
        <v>8.6311484015781286</v>
      </c>
      <c r="C29" s="249">
        <f>B29*'GWP N2O_CH4'!B4</f>
        <v>2675.6560044892199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2.1551115110321185E-3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2.3818692838869997E-5</v>
      </c>
      <c r="C5" s="448" t="s">
        <v>211</v>
      </c>
      <c r="D5" s="433">
        <f>SUM(D6:D11)</f>
        <v>3.8304924711164355E-5</v>
      </c>
      <c r="E5" s="433">
        <f>SUM(E6:E11)</f>
        <v>1.1771898661330454E-3</v>
      </c>
      <c r="F5" s="446" t="s">
        <v>211</v>
      </c>
      <c r="G5" s="433">
        <f>SUM(G6:G11)</f>
        <v>0.26695038731623666</v>
      </c>
      <c r="H5" s="433">
        <f>SUM(H6:H11)</f>
        <v>5.7404610975137743E-2</v>
      </c>
      <c r="I5" s="448" t="s">
        <v>211</v>
      </c>
      <c r="J5" s="448" t="s">
        <v>211</v>
      </c>
      <c r="K5" s="448" t="s">
        <v>211</v>
      </c>
      <c r="L5" s="448" t="s">
        <v>211</v>
      </c>
      <c r="M5" s="433">
        <f>SUM(M6:M11)</f>
        <v>1.4667865237863311E-2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1.9686893321475597E-5</v>
      </c>
      <c r="C6" s="887"/>
      <c r="D6" s="887">
        <f>vkm_2011_GW_PW*SUMIFS(TableVerdeelsleutelVkm[CNG],TableVerdeelsleutelVkm[Voertuigtype],"Lichte voertuigen")*SUMIFS(TableECFTransport[EnergieConsumptieFactor (PJ per km)],TableECFTransport[Index],CONCATENATE($A6,"_CNG_CNG"))</f>
        <v>2.7880491317901789E-5</v>
      </c>
      <c r="E6" s="887">
        <f>vkm_2011_GW_PW*SUMIFS(TableVerdeelsleutelVkm[LPG],TableVerdeelsleutelVkm[Voertuigtype],"Lichte voertuigen")*SUMIFS(TableECFTransport[EnergieConsumptieFactor (PJ per km)],TableECFTransport[Index],CONCATENATE($A6,"_LPG_LPG"))</f>
        <v>8.7563444729473394E-4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0.15737548683565611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4.2170028035602408E-2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9.0280766955001396E-3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5.6833266113790921E-2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2.0192270273258349E-5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2.5647054348341657E-3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4.1317995173943987E-6</v>
      </c>
      <c r="C8" s="887"/>
      <c r="D8" s="436">
        <f>vkm_2011_NGW_PW*SUMIFS(TableVerdeelsleutelVkm[CNG],TableVerdeelsleutelVkm[Voertuigtype],"Lichte voertuigen")*SUMIFS(TableECFTransport[EnergieConsumptieFactor (PJ per km)],TableECFTransport[Index],CONCATENATE($A8,"_CNG_CNG"))</f>
        <v>1.0424433393262566E-5</v>
      </c>
      <c r="E8" s="436">
        <f>vkm_2011_NGW_PW*SUMIFS(TableVerdeelsleutelVkm[LPG],TableVerdeelsleutelVkm[Voertuigtype],"Lichte voertuigen")*SUMIFS(TableECFTransport[EnergieConsumptieFactor (PJ per km)],TableECFTransport[Index],CONCATENATE($A8,"_LPG_LPG"))</f>
        <v>3.0155541883831148E-4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5.1116567674964045E-2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1.5213844309853454E-2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3.0017504090436228E-3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1.6250666918255945E-3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5.4635940862496071E-7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7.3332698485382918E-5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6.6163035663527765</v>
      </c>
      <c r="C14" s="21"/>
      <c r="D14" s="21">
        <f t="shared" ref="D14:M14" si="0">((D5)*10^9/3600)+D12</f>
        <v>10.64025686421232</v>
      </c>
      <c r="E14" s="21">
        <f t="shared" si="0"/>
        <v>326.99718503695703</v>
      </c>
      <c r="F14" s="21"/>
      <c r="G14" s="21">
        <f t="shared" si="0"/>
        <v>74152.885365621289</v>
      </c>
      <c r="H14" s="21">
        <f t="shared" si="0"/>
        <v>15945.725270871595</v>
      </c>
      <c r="I14" s="21"/>
      <c r="J14" s="21"/>
      <c r="K14" s="21"/>
      <c r="L14" s="21"/>
      <c r="M14" s="21">
        <f t="shared" si="0"/>
        <v>4074.4070105175865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0.21065012496050761</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1.3937251730288645</v>
      </c>
      <c r="C18" s="23"/>
      <c r="D18" s="23">
        <f t="shared" ref="D18:M18" si="1">D14*D16</f>
        <v>2.1493318865708888</v>
      </c>
      <c r="E18" s="23">
        <f t="shared" si="1"/>
        <v>74.228361003389253</v>
      </c>
      <c r="F18" s="23"/>
      <c r="G18" s="23">
        <f t="shared" si="1"/>
        <v>19798.820392620884</v>
      </c>
      <c r="H18" s="23">
        <f t="shared" si="1"/>
        <v>3970.4855924470271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5.6177591707858871E-3</v>
      </c>
      <c r="H50" s="323">
        <f t="shared" si="2"/>
        <v>0</v>
      </c>
      <c r="I50" s="323">
        <f t="shared" si="2"/>
        <v>0</v>
      </c>
      <c r="J50" s="323">
        <f t="shared" si="2"/>
        <v>0</v>
      </c>
      <c r="K50" s="323">
        <f t="shared" si="2"/>
        <v>0</v>
      </c>
      <c r="L50" s="323">
        <f t="shared" si="2"/>
        <v>0</v>
      </c>
      <c r="M50" s="323">
        <f t="shared" si="2"/>
        <v>2.4983549089401403E-4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5.6177591707858871E-3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2.4983549089401403E-4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1560.4886585516354</v>
      </c>
      <c r="H54" s="21">
        <f t="shared" si="3"/>
        <v>0</v>
      </c>
      <c r="I54" s="21">
        <f t="shared" si="3"/>
        <v>0</v>
      </c>
      <c r="J54" s="21">
        <f t="shared" si="3"/>
        <v>0</v>
      </c>
      <c r="K54" s="21">
        <f t="shared" si="3"/>
        <v>0</v>
      </c>
      <c r="L54" s="21">
        <f t="shared" si="3"/>
        <v>0</v>
      </c>
      <c r="M54" s="21">
        <f t="shared" si="3"/>
        <v>69.398747470559456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0.21065012496050761</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416.65047183328664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3193.0650000000001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47929.5</v>
      </c>
      <c r="C8" s="560">
        <f>B101</f>
        <v>51424.998049701164</v>
      </c>
      <c r="D8" s="1028"/>
      <c r="E8" s="1028">
        <f>E101</f>
        <v>1240.6622522805912</v>
      </c>
      <c r="F8" s="1029"/>
      <c r="G8" s="561"/>
      <c r="H8" s="1028">
        <f>I101</f>
        <v>0</v>
      </c>
      <c r="I8" s="1028">
        <f>G101+F101</f>
        <v>3721.986756841774</v>
      </c>
      <c r="J8" s="1028">
        <f>H101+D101+C101</f>
        <v>0</v>
      </c>
      <c r="K8" s="1028"/>
      <c r="L8" s="1028"/>
      <c r="M8" s="1028"/>
      <c r="N8" s="562"/>
      <c r="O8" s="563">
        <f>C8*$C$12+D8*$D$12+E8*$E$12+F8*$F$12+G8*$G$12+H8*$H$12+I8*$I$12+J8*$J$12</f>
        <v>10719.106427398554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51122.565000000002</v>
      </c>
      <c r="C10" s="573">
        <f t="shared" ref="C10:L10" si="0">SUM(C8:C9)</f>
        <v>51424.998049701164</v>
      </c>
      <c r="D10" s="573">
        <f t="shared" si="0"/>
        <v>0</v>
      </c>
      <c r="E10" s="573">
        <f t="shared" si="0"/>
        <v>1240.6622522805912</v>
      </c>
      <c r="F10" s="573">
        <f t="shared" si="0"/>
        <v>0</v>
      </c>
      <c r="G10" s="573">
        <f t="shared" si="0"/>
        <v>0</v>
      </c>
      <c r="H10" s="573">
        <f t="shared" si="0"/>
        <v>0</v>
      </c>
      <c r="I10" s="573">
        <f t="shared" si="0"/>
        <v>3721.986756841774</v>
      </c>
      <c r="J10" s="573">
        <f t="shared" si="0"/>
        <v>0</v>
      </c>
      <c r="K10" s="573">
        <f t="shared" si="0"/>
        <v>0</v>
      </c>
      <c r="L10" s="573">
        <f t="shared" si="0"/>
        <v>0</v>
      </c>
      <c r="M10" s="1031"/>
      <c r="N10" s="1031"/>
      <c r="O10" s="574">
        <f>SUM(O4:O9)</f>
        <v>10719.106427398554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67025.410714285725</v>
      </c>
      <c r="C17" s="585">
        <f>B102</f>
        <v>71913.573378870278</v>
      </c>
      <c r="D17" s="586"/>
      <c r="E17" s="586">
        <f>E102</f>
        <v>1734.9627477194085</v>
      </c>
      <c r="F17" s="1034"/>
      <c r="G17" s="587"/>
      <c r="H17" s="585">
        <f>I102</f>
        <v>0</v>
      </c>
      <c r="I17" s="586">
        <f>G102+F102</f>
        <v>5204.888243158226</v>
      </c>
      <c r="J17" s="586">
        <f>H102+D102+C102</f>
        <v>0</v>
      </c>
      <c r="K17" s="586"/>
      <c r="L17" s="586"/>
      <c r="M17" s="586"/>
      <c r="N17" s="1035"/>
      <c r="O17" s="588">
        <f>C17*$C$22+E17*$E$22+H17*$H$22+I17*$I$22+J17*$J$22+D17*$D$22+F17*$F$22+G17*$G$22+K17*$K$22+L17*$L$22</f>
        <v>14989.776876172878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67025.410714285725</v>
      </c>
      <c r="C20" s="572">
        <f>SUM(C17:C19)</f>
        <v>71913.573378870278</v>
      </c>
      <c r="D20" s="572">
        <f t="shared" ref="D20:L20" si="1">SUM(D17:D19)</f>
        <v>0</v>
      </c>
      <c r="E20" s="572">
        <f t="shared" si="1"/>
        <v>1734.9627477194085</v>
      </c>
      <c r="F20" s="572">
        <f t="shared" si="1"/>
        <v>0</v>
      </c>
      <c r="G20" s="572">
        <f t="shared" si="1"/>
        <v>0</v>
      </c>
      <c r="H20" s="572">
        <f t="shared" si="1"/>
        <v>0</v>
      </c>
      <c r="I20" s="572">
        <f t="shared" si="1"/>
        <v>5204.888243158226</v>
      </c>
      <c r="J20" s="572">
        <f t="shared" si="1"/>
        <v>0</v>
      </c>
      <c r="K20" s="572">
        <f t="shared" si="1"/>
        <v>0</v>
      </c>
      <c r="L20" s="572">
        <f t="shared" si="1"/>
        <v>0</v>
      </c>
      <c r="M20" s="572"/>
      <c r="N20" s="572"/>
      <c r="O20" s="592">
        <f>SUM(O17:O19)</f>
        <v>14989.776876172878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12029</v>
      </c>
      <c r="C28" s="791">
        <v>2580</v>
      </c>
      <c r="D28" s="644" t="s">
        <v>913</v>
      </c>
      <c r="E28" s="643" t="s">
        <v>914</v>
      </c>
      <c r="F28" s="643" t="s">
        <v>915</v>
      </c>
      <c r="G28" s="643" t="s">
        <v>916</v>
      </c>
      <c r="H28" s="643" t="s">
        <v>917</v>
      </c>
      <c r="I28" s="643" t="s">
        <v>914</v>
      </c>
      <c r="J28" s="790">
        <v>39174</v>
      </c>
      <c r="K28" s="790">
        <v>39218</v>
      </c>
      <c r="L28" s="643" t="s">
        <v>918</v>
      </c>
      <c r="M28" s="643">
        <v>1147</v>
      </c>
      <c r="N28" s="643">
        <v>5161.5</v>
      </c>
      <c r="O28" s="643">
        <v>7373.5714285714284</v>
      </c>
      <c r="P28" s="643">
        <v>14747.142857142859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12029</v>
      </c>
      <c r="C29" s="791">
        <v>2580</v>
      </c>
      <c r="D29" s="644" t="s">
        <v>919</v>
      </c>
      <c r="E29" s="643" t="s">
        <v>920</v>
      </c>
      <c r="F29" s="643" t="s">
        <v>921</v>
      </c>
      <c r="G29" s="643" t="s">
        <v>916</v>
      </c>
      <c r="H29" s="643" t="s">
        <v>917</v>
      </c>
      <c r="I29" s="643" t="s">
        <v>922</v>
      </c>
      <c r="J29" s="790">
        <v>39706</v>
      </c>
      <c r="K29" s="790">
        <v>39735</v>
      </c>
      <c r="L29" s="643" t="s">
        <v>918</v>
      </c>
      <c r="M29" s="643">
        <v>1464</v>
      </c>
      <c r="N29" s="643">
        <v>6588</v>
      </c>
      <c r="O29" s="643">
        <v>9411.4285714285725</v>
      </c>
      <c r="P29" s="643">
        <v>18822.857142857145</v>
      </c>
      <c r="Q29" s="643">
        <v>0</v>
      </c>
      <c r="R29" s="643">
        <v>0</v>
      </c>
      <c r="S29" s="643">
        <v>0</v>
      </c>
      <c r="T29" s="643">
        <v>0</v>
      </c>
      <c r="U29" s="643">
        <v>0</v>
      </c>
      <c r="V29" s="643">
        <v>0</v>
      </c>
      <c r="W29" s="643">
        <v>0</v>
      </c>
      <c r="X29" s="643">
        <v>10</v>
      </c>
      <c r="Y29" s="643" t="s">
        <v>112</v>
      </c>
      <c r="Z29" s="645" t="s">
        <v>112</v>
      </c>
    </row>
    <row r="30" spans="1:26" s="597" customFormat="1" ht="25.5">
      <c r="A30" s="596"/>
      <c r="B30" s="791">
        <v>12029</v>
      </c>
      <c r="C30" s="791">
        <v>2580</v>
      </c>
      <c r="D30" s="644" t="s">
        <v>923</v>
      </c>
      <c r="E30" s="643" t="s">
        <v>924</v>
      </c>
      <c r="F30" s="643" t="s">
        <v>925</v>
      </c>
      <c r="G30" s="643" t="s">
        <v>916</v>
      </c>
      <c r="H30" s="643" t="s">
        <v>917</v>
      </c>
      <c r="I30" s="643" t="s">
        <v>924</v>
      </c>
      <c r="J30" s="790">
        <v>39805</v>
      </c>
      <c r="K30" s="790">
        <v>39833</v>
      </c>
      <c r="L30" s="643" t="s">
        <v>918</v>
      </c>
      <c r="M30" s="643">
        <v>485</v>
      </c>
      <c r="N30" s="643">
        <v>2182.5</v>
      </c>
      <c r="O30" s="643">
        <v>3117.8571428571431</v>
      </c>
      <c r="P30" s="643">
        <v>6235.7142857142862</v>
      </c>
      <c r="Q30" s="643">
        <v>0</v>
      </c>
      <c r="R30" s="643">
        <v>0</v>
      </c>
      <c r="S30" s="643">
        <v>0</v>
      </c>
      <c r="T30" s="643">
        <v>0</v>
      </c>
      <c r="U30" s="643">
        <v>0</v>
      </c>
      <c r="V30" s="643">
        <v>0</v>
      </c>
      <c r="W30" s="643">
        <v>0</v>
      </c>
      <c r="X30" s="643">
        <v>10</v>
      </c>
      <c r="Y30" s="643" t="s">
        <v>112</v>
      </c>
      <c r="Z30" s="645" t="s">
        <v>112</v>
      </c>
    </row>
    <row r="31" spans="1:26" s="597" customFormat="1" ht="38.25">
      <c r="A31" s="596"/>
      <c r="B31" s="791">
        <v>12029</v>
      </c>
      <c r="C31" s="791">
        <v>2580</v>
      </c>
      <c r="D31" s="644" t="s">
        <v>926</v>
      </c>
      <c r="E31" s="643" t="s">
        <v>927</v>
      </c>
      <c r="F31" s="643" t="s">
        <v>928</v>
      </c>
      <c r="G31" s="643" t="s">
        <v>916</v>
      </c>
      <c r="H31" s="643" t="s">
        <v>929</v>
      </c>
      <c r="I31" s="643" t="s">
        <v>927</v>
      </c>
      <c r="J31" s="790">
        <v>40093</v>
      </c>
      <c r="K31" s="790">
        <v>40093</v>
      </c>
      <c r="L31" s="643" t="s">
        <v>918</v>
      </c>
      <c r="M31" s="643">
        <v>1058</v>
      </c>
      <c r="N31" s="643">
        <v>4761</v>
      </c>
      <c r="O31" s="643">
        <v>5356.125</v>
      </c>
      <c r="P31" s="643">
        <v>0</v>
      </c>
      <c r="Q31" s="643">
        <v>0</v>
      </c>
      <c r="R31" s="643">
        <v>0</v>
      </c>
      <c r="S31" s="643">
        <v>2975.625</v>
      </c>
      <c r="T31" s="643">
        <v>8926.875</v>
      </c>
      <c r="U31" s="643">
        <v>0</v>
      </c>
      <c r="V31" s="643">
        <v>0</v>
      </c>
      <c r="W31" s="643">
        <v>0</v>
      </c>
      <c r="X31" s="643">
        <v>10</v>
      </c>
      <c r="Y31" s="643" t="s">
        <v>112</v>
      </c>
      <c r="Z31" s="645" t="s">
        <v>112</v>
      </c>
    </row>
    <row r="32" spans="1:26" s="597" customFormat="1" ht="25.5">
      <c r="A32" s="596"/>
      <c r="B32" s="791">
        <v>12029</v>
      </c>
      <c r="C32" s="791">
        <v>2580</v>
      </c>
      <c r="D32" s="644" t="s">
        <v>930</v>
      </c>
      <c r="E32" s="643" t="s">
        <v>931</v>
      </c>
      <c r="F32" s="643" t="s">
        <v>932</v>
      </c>
      <c r="G32" s="643" t="s">
        <v>916</v>
      </c>
      <c r="H32" s="643" t="s">
        <v>917</v>
      </c>
      <c r="I32" s="643" t="s">
        <v>931</v>
      </c>
      <c r="J32" s="790">
        <v>40142</v>
      </c>
      <c r="K32" s="790">
        <v>40175</v>
      </c>
      <c r="L32" s="643" t="s">
        <v>918</v>
      </c>
      <c r="M32" s="643">
        <v>695</v>
      </c>
      <c r="N32" s="643">
        <v>3127.5</v>
      </c>
      <c r="O32" s="643">
        <v>4467.8571428571431</v>
      </c>
      <c r="P32" s="643">
        <v>8935.7142857142862</v>
      </c>
      <c r="Q32" s="643">
        <v>0</v>
      </c>
      <c r="R32" s="643">
        <v>0</v>
      </c>
      <c r="S32" s="643">
        <v>0</v>
      </c>
      <c r="T32" s="643">
        <v>0</v>
      </c>
      <c r="U32" s="643">
        <v>0</v>
      </c>
      <c r="V32" s="643">
        <v>0</v>
      </c>
      <c r="W32" s="643">
        <v>0</v>
      </c>
      <c r="X32" s="643">
        <v>10</v>
      </c>
      <c r="Y32" s="643" t="s">
        <v>112</v>
      </c>
      <c r="Z32" s="645" t="s">
        <v>112</v>
      </c>
    </row>
    <row r="33" spans="1:26" s="597" customFormat="1" ht="25.5">
      <c r="A33" s="596"/>
      <c r="B33" s="791">
        <v>12029</v>
      </c>
      <c r="C33" s="791">
        <v>2580</v>
      </c>
      <c r="D33" s="644" t="s">
        <v>933</v>
      </c>
      <c r="E33" s="643" t="s">
        <v>934</v>
      </c>
      <c r="F33" s="643" t="s">
        <v>935</v>
      </c>
      <c r="G33" s="643" t="s">
        <v>916</v>
      </c>
      <c r="H33" s="643" t="s">
        <v>917</v>
      </c>
      <c r="I33" s="643" t="s">
        <v>936</v>
      </c>
      <c r="J33" s="790">
        <v>40315</v>
      </c>
      <c r="K33" s="790">
        <v>40343</v>
      </c>
      <c r="L33" s="643" t="s">
        <v>918</v>
      </c>
      <c r="M33" s="643">
        <v>1400</v>
      </c>
      <c r="N33" s="643">
        <v>6300</v>
      </c>
      <c r="O33" s="643">
        <v>9000</v>
      </c>
      <c r="P33" s="643">
        <v>18000</v>
      </c>
      <c r="Q33" s="643">
        <v>0</v>
      </c>
      <c r="R33" s="643">
        <v>0</v>
      </c>
      <c r="S33" s="643">
        <v>0</v>
      </c>
      <c r="T33" s="643">
        <v>0</v>
      </c>
      <c r="U33" s="643">
        <v>0</v>
      </c>
      <c r="V33" s="643">
        <v>0</v>
      </c>
      <c r="W33" s="643">
        <v>0</v>
      </c>
      <c r="X33" s="643">
        <v>10</v>
      </c>
      <c r="Y33" s="643" t="s">
        <v>112</v>
      </c>
      <c r="Z33" s="645" t="s">
        <v>112</v>
      </c>
    </row>
    <row r="34" spans="1:26" s="597" customFormat="1" ht="25.5">
      <c r="A34" s="596"/>
      <c r="B34" s="791">
        <v>12029</v>
      </c>
      <c r="C34" s="791">
        <v>2580</v>
      </c>
      <c r="D34" s="644" t="s">
        <v>937</v>
      </c>
      <c r="E34" s="643" t="s">
        <v>938</v>
      </c>
      <c r="F34" s="643" t="s">
        <v>939</v>
      </c>
      <c r="G34" s="643" t="s">
        <v>916</v>
      </c>
      <c r="H34" s="643" t="s">
        <v>917</v>
      </c>
      <c r="I34" s="643" t="s">
        <v>938</v>
      </c>
      <c r="J34" s="790">
        <v>40445</v>
      </c>
      <c r="K34" s="790">
        <v>40445</v>
      </c>
      <c r="L34" s="643" t="s">
        <v>918</v>
      </c>
      <c r="M34" s="643">
        <v>800</v>
      </c>
      <c r="N34" s="643">
        <v>3600</v>
      </c>
      <c r="O34" s="643">
        <v>5142.8571428571431</v>
      </c>
      <c r="P34" s="643">
        <v>10285.714285714286</v>
      </c>
      <c r="Q34" s="643">
        <v>0</v>
      </c>
      <c r="R34" s="643">
        <v>0</v>
      </c>
      <c r="S34" s="643">
        <v>0</v>
      </c>
      <c r="T34" s="643">
        <v>0</v>
      </c>
      <c r="U34" s="643">
        <v>0</v>
      </c>
      <c r="V34" s="643">
        <v>0</v>
      </c>
      <c r="W34" s="643">
        <v>0</v>
      </c>
      <c r="X34" s="643">
        <v>10</v>
      </c>
      <c r="Y34" s="643" t="s">
        <v>112</v>
      </c>
      <c r="Z34" s="645" t="s">
        <v>112</v>
      </c>
    </row>
    <row r="35" spans="1:26" s="597" customFormat="1" ht="25.5">
      <c r="A35" s="596"/>
      <c r="B35" s="791">
        <v>12029</v>
      </c>
      <c r="C35" s="791">
        <v>2580</v>
      </c>
      <c r="D35" s="644" t="s">
        <v>940</v>
      </c>
      <c r="E35" s="643" t="s">
        <v>941</v>
      </c>
      <c r="F35" s="643" t="s">
        <v>942</v>
      </c>
      <c r="G35" s="643" t="s">
        <v>916</v>
      </c>
      <c r="H35" s="643" t="s">
        <v>917</v>
      </c>
      <c r="I35" s="643" t="s">
        <v>941</v>
      </c>
      <c r="J35" s="790">
        <v>40970</v>
      </c>
      <c r="K35" s="790">
        <v>39303</v>
      </c>
      <c r="L35" s="643" t="s">
        <v>918</v>
      </c>
      <c r="M35" s="643">
        <v>3602</v>
      </c>
      <c r="N35" s="643">
        <v>16209</v>
      </c>
      <c r="O35" s="643">
        <v>23155.714285714286</v>
      </c>
      <c r="P35" s="643">
        <v>46311.428571428572</v>
      </c>
      <c r="Q35" s="643">
        <v>0</v>
      </c>
      <c r="R35" s="643">
        <v>0</v>
      </c>
      <c r="S35" s="643">
        <v>0</v>
      </c>
      <c r="T35" s="643">
        <v>0</v>
      </c>
      <c r="U35" s="643">
        <v>0</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10651</v>
      </c>
      <c r="N58" s="601">
        <f>SUM(N28:N57)</f>
        <v>47929.5</v>
      </c>
      <c r="O58" s="601">
        <f t="shared" ref="O58:W58" si="2">SUM(O28:O57)</f>
        <v>67025.410714285725</v>
      </c>
      <c r="P58" s="601">
        <f t="shared" si="2"/>
        <v>123338.57142857145</v>
      </c>
      <c r="Q58" s="601">
        <f t="shared" si="2"/>
        <v>0</v>
      </c>
      <c r="R58" s="601">
        <f t="shared" si="2"/>
        <v>0</v>
      </c>
      <c r="S58" s="601">
        <f t="shared" si="2"/>
        <v>2975.625</v>
      </c>
      <c r="T58" s="601">
        <f t="shared" si="2"/>
        <v>8926.875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10651</v>
      </c>
      <c r="N61" s="606">
        <f t="shared" si="4"/>
        <v>47929.5</v>
      </c>
      <c r="O61" s="606">
        <f t="shared" si="4"/>
        <v>67025.410714285725</v>
      </c>
      <c r="P61" s="606">
        <f t="shared" si="4"/>
        <v>123338.57142857145</v>
      </c>
      <c r="Q61" s="606">
        <f t="shared" si="4"/>
        <v>0</v>
      </c>
      <c r="R61" s="606">
        <f t="shared" si="4"/>
        <v>0</v>
      </c>
      <c r="S61" s="606">
        <f t="shared" si="4"/>
        <v>2975.625</v>
      </c>
      <c r="T61" s="606">
        <f t="shared" si="4"/>
        <v>8926.875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0.58305826430393903</v>
      </c>
      <c r="C98" s="626">
        <f>IF(ISERROR(N58/(O58+N58)),0,N58/(N58+O58))</f>
        <v>0.41694173569606091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51424.998049701164</v>
      </c>
      <c r="C101" s="635">
        <f t="shared" si="9"/>
        <v>0</v>
      </c>
      <c r="D101" s="635">
        <f t="shared" si="9"/>
        <v>0</v>
      </c>
      <c r="E101" s="635">
        <f t="shared" si="9"/>
        <v>1240.6622522805912</v>
      </c>
      <c r="F101" s="635">
        <f t="shared" si="9"/>
        <v>3721.986756841774</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71913.573378870278</v>
      </c>
      <c r="C102" s="638">
        <f t="shared" si="10"/>
        <v>0</v>
      </c>
      <c r="D102" s="638">
        <f t="shared" si="10"/>
        <v>0</v>
      </c>
      <c r="E102" s="638">
        <f t="shared" si="10"/>
        <v>1734.9627477194085</v>
      </c>
      <c r="F102" s="638">
        <f t="shared" si="10"/>
        <v>5204.888243158226</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2019-08-12T08:01:02Z</dcterms:modified>
</cp:coreProperties>
</file>