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<sst xmlns="http://schemas.openxmlformats.org/spreadsheetml/2006/main" count="2468" uniqueCount="929">
  <si>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</si>
  <si>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</si>
  <si>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</si>
  <si>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</si>
  <si>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</si>
  <si>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</si>
  <si>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</si>
  <si>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</si>
  <si>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</si>
  <si>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</si>
  <si>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</si>
  <si>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</si>
  <si>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</si>
  <si>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</si>
  <si>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</si>
  <si>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</si>
  <si>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</si>
  <si>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</si>
  <si>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</si>
  <si>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</si>
  <si>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</si>
  <si>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</si>
  <si>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</si>
  <si>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</si>
  <si>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</si>
  <si>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</si>
  <si>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</si>
  <si>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</si>
  <si>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</si>
  <si>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</si>
  <si>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</si>
  <si>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</si>
  <si>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</si>
  <si>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</si>
  <si>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</si>
  <si>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</si>
  <si>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</si>
  <si>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</si>
  <si>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</si>
  <si>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</si>
  <si>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</si>
  <si>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</si>
  <si>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</si>
  <si>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</si>
  <si>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</si>
  <si>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</si>
  <si>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</si>
  <si>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</si>
  <si>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</si>
  <si>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</si>
  <si>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</si>
  <si>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</si>
  <si>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</si>
  <si>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</si>
  <si>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</si>
  <si>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</si>
  <si>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</si>
  <si>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</si>
  <si>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</si>
  <si>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</si>
  <si>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</si>
  <si>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</si>
  <si>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</si>
  <si>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</si>
  <si>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</si>
  <si>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</si>
  <si>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</si>
  <si>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</si>
  <si>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</si>
  <si>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</si>
  <si>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</si>
  <si>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</si>
  <si>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</si>
  <si>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</si>
  <si>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</si>
  <si>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</si>
  <si>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</si>
  <si>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</si>
  <si>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</si>
  <si>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</si>
  <si>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</si>
  <si>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</si>
  <si>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</si>
  <si>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</si>
  <si>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</si>
  <si>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</si>
  <si>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</si>
  <si>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</si>
  <si>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</si>
  <si>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</si>
  <si>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</si>
  <si>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</si>
  <si>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</si>
  <si>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</si>
  <si>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</si>
  <si>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</si>
  <si>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</si>
  <si>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</si>
  <si>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</si>
  <si>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</si>
  <si>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</si>
  <si>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</si>
  <si>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</si>
  <si>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</si>
  <si>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</si>
  <si>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</si>
  <si>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</si>
  <si>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</si>
  <si>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</si>
  <si>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</si>
  <si>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</si>
  <si>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</si>
  <si>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</si>
  <si>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</si>
  <si>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</si>
  <si>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</si>
  <si>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</si>
  <si>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</si>
  <si>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</si>
  <si>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</si>
  <si>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</si>
  <si>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</si>
  <si>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</si>
  <si>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</si>
  <si>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</si>
  <si>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</si>
  <si>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</si>
  <si>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</si>
  <si>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</si>
  <si>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</si>
  <si>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</si>
  <si>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</si>
  <si>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</si>
  <si>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</si>
  <si>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</si>
  <si>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</si>
  <si>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</si>
  <si>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</si>
  <si>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</si>
  <si>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</si>
  <si>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</si>
  <si>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</si>
  <si>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</si>
  <si>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</si>
  <si>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</si>
  <si>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</si>
  <si>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</si>
  <si>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</si>
  <si>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</si>
  <si>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</si>
  <si>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</si>
  <si>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</si>
  <si>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</si>
  <si>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</si>
  <si>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</si>
  <si>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</si>
  <si>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</si>
  <si>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</si>
  <si>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</si>
  <si>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</si>
  <si>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</si>
  <si>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</si>
  <si>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</si>
  <si>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</si>
  <si>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</si>
  <si>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</si>
  <si>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</si>
  <si>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</si>
  <si>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</si>
  <si>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</si>
  <si>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</si>
  <si>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</si>
  <si>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</si>
  <si>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</si>
  <si>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</si>
  <si>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</si>
  <si>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</si>
  <si>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</si>
  <si>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</si>
  <si>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</si>
  <si>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</si>
  <si>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</si>
  <si>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</si>
  <si>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</si>
  <si>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</si>
  <si>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</si>
  <si>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</si>
  <si>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</si>
  <si>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</si>
  <si>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</si>
  <si>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</si>
  <si>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</si>
  <si>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</si>
  <si>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</si>
  <si>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</si>
  <si>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</si>
  <si>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</si>
  <si>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</si>
  <si>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</si>
  <si>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</si>
  <si>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</si>
  <si>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</si>
  <si>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</si>
  <si>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</si>
  <si>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</si>
  <si>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</si>
  <si>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</si>
  <si>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</si>
  <si>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</si>
  <si>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</si>
  <si>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</si>
  <si>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</si>
  <si>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</si>
  <si>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</si>
  <si>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</si>
  <si>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</si>
  <si>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</si>
  <si>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</si>
  <si>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</si>
  <si>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</si>
  <si>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</si>
  <si>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</si>
  <si>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</si>
  <si>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</si>
  <si>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</si>
  <si>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</si>
  <si>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</si>
  <si>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</si>
  <si>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</si>
  <si>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</si>
  <si>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</si>
  <si>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</si>
  <si>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</si>
  <si>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</si>
  <si>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</si>
  <si>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</si>
  <si>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</si>
  <si>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</si>
  <si>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</si>
  <si>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</si>
  <si>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</si>
  <si>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</si>
  <si>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</si>
  <si>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</si>
  <si>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</si>
  <si>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</si>
  <si>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</si>
  <si>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</si>
  <si>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</si>
  <si>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</si>
  <si>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</si>
  <si>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</si>
  <si>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</si>
  <si>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</si>
  <si>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</si>
  <si>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</si>
  <si>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</si>
  <si>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</si>
  <si>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</si>
  <si>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</si>
  <si>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</si>
  <si>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</si>
  <si>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</si>
  <si>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</si>
  <si>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</si>
  <si>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</si>
  <si>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</si>
  <si>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</si>
  <si>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</si>
  <si>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</si>
  <si>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</si>
  <si>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</si>
  <si>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</si>
  <si>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</si>
  <si>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</si>
  <si>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</si>
  <si>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</si>
  <si>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</si>
  <si>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</si>
  <si>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</si>
  <si>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</si>
  <si>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</si>
  <si>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</si>
  <si>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</si>
  <si>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</si>
  <si>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</si>
  <si>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</si>
  <si>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</si>
  <si>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</si>
  <si>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</si>
  <si>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</si>
  <si>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</si>
  <si>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</si>
  <si>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</si>
  <si>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</si>
  <si>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</si>
  <si>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</si>
  <si>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</si>
  <si>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</si>
  <si>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</si>
  <si>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</si>
  <si>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</si>
  <si>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</si>
  <si>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</si>
  <si>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</si>
  <si>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</si>
  <si>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</si>
  <si>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</si>
  <si>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</si>
  <si>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</si>
  <si>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</si>
  <si>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</si>
  <si>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</si>
  <si>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</si>
  <si>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</si>
  <si>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</si>
  <si>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</si>
  <si>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</si>
  <si>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</si>
  <si>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</si>
  <si>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</si>
  <si>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</si>
  <si>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</si>
  <si>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</si>
  <si>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</si>
  <si>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</si>
  <si>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</si>
  <si>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</si>
  <si>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</si>
  <si>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</si>
  <si>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</si>
  <si>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</si>
  <si>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</si>
  <si>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</si>
  <si>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</si>
  <si>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</si>
  <si>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</si>
  <si>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</si>
  <si>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</si>
  <si>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</si>
  <si>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</si>
  <si>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</si>
  <si>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</si>
  <si>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</si>
  <si>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</si>
  <si>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</si>
  <si>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</si>
  <si>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</si>
  <si>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</si>
  <si>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</si>
  <si>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</si>
  <si>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</si>
  <si>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</si>
  <si>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</si>
  <si>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</si>
  <si>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</si>
  <si>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</si>
  <si>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</si>
  <si>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</si>
  <si>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</si>
  <si>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</si>
  <si>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</si>
  <si>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</si>
  <si>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</si>
  <si>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</si>
  <si>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</si>
  <si>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</si>
  <si>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</si>
  <si>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</si>
  <si>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</si>
  <si>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</si>
  <si>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</si>
  <si>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</si>
  <si>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</si>
  <si>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</si>
  <si>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</si>
  <si>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</si>
  <si>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</si>
  <si>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</si>
  <si>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</si>
  <si>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</si>
  <si>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</si>
  <si>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</si>
  <si>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</si>
  <si>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</si>
  <si>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</si>
  <si>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</si>
  <si>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</si>
  <si>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</si>
  <si>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</si>
  <si>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</si>
  <si>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</si>
  <si>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</si>
  <si>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</si>
  <si>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</si>
  <si>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</si>
  <si>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</si>
  <si>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</si>
  <si>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</si>
  <si>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</si>
  <si>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</si>
  <si>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</si>
  <si>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</si>
  <si>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</si>
  <si>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</si>
  <si>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</si>
  <si>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</si>
  <si>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</si>
  <si>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</si>
  <si>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</si>
  <si>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</si>
  <si>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</si>
  <si>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</si>
  <si>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</si>
  <si>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</si>
  <si>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</si>
  <si>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</si>
  <si>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</si>
  <si>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</si>
  <si>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</si>
  <si>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</si>
  <si>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</si>
  <si>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</si>
  <si>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</si>
  <si>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</si>
  <si>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</si>
  <si>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</si>
  <si>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</si>
  <si>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</si>
  <si>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</si>
  <si>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</si>
  <si>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</si>
  <si>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</si>
  <si>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</si>
  <si>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</si>
  <si>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</si>
  <si>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</si>
  <si>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</si>
  <si>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</si>
  <si>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</si>
  <si>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</si>
  <si>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</si>
  <si>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</si>
  <si>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</si>
  <si>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</si>
  <si>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</si>
  <si>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</si>
  <si>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</si>
  <si>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</si>
  <si>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</si>
  <si>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</si>
  <si>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</si>
  <si>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</si>
  <si>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</si>
  <si>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</si>
  <si>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</si>
  <si>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</si>
  <si>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</si>
  <si>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</si>
  <si>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</si>
  <si>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</si>
  <si>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</si>
  <si>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</si>
  <si>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</si>
  <si>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</si>
  <si>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</si>
  <si>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</si>
  <si>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</si>
  <si>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</si>
  <si>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</si>
  <si>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</si>
  <si>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</si>
  <si>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</si>
  <si>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</si>
  <si>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</si>
  <si>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</si>
  <si>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</si>
  <si>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</si>
  <si>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</si>
  <si>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</si>
  <si>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</si>
  <si>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</si>
  <si>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</si>
  <si>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</si>
  <si>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</si>
  <si>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</si>
  <si>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</si>
  <si>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</si>
  <si>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</si>
  <si>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</si>
  <si>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</si>
  <si>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</si>
  <si>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</si>
  <si>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</si>
  <si>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</si>
  <si>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</si>
  <si>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</si>
  <si>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</si>
  <si>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</si>
  <si>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</si>
  <si>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</si>
  <si>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</si>
  <si>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</si>
  <si>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</si>
  <si>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</si>
  <si>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</si>
  <si>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</si>
  <si>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</si>
  <si>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</si>
  <si>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</si>
  <si>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</si>
  <si>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</si>
  <si>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</si>
  <si>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</si>
  <si>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</si>
  <si>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</si>
  <si>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</si>
  <si>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</si>
  <si>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</si>
  <si>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</si>
  <si>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</si>
  <si>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</si>
  <si>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</si>
  <si>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</si>
  <si>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</si>
  <si>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</si>
  <si>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</si>
  <si>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</si>
  <si>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</si>
  <si>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</si>
  <si>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</si>
  <si>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</si>
  <si>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</si>
  <si>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</si>
  <si>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</si>
  <si>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</si>
  <si>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</si>
  <si>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</si>
  <si>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</si>
  <si>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</si>
  <si>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</si>
  <si>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</si>
  <si>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</si>
  <si>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</si>
  <si>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</si>
  <si>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</si>
  <si>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</si>
  <si>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</si>
  <si>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</si>
  <si>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</si>
  <si>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</si>
  <si>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</si>
  <si>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</si>
  <si>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</si>
  <si>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</si>
  <si>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</si>
  <si>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</si>
  <si>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</si>
  <si>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</si>
  <si>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</si>
  <si>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</si>
  <si>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</si>
  <si>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</si>
  <si>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</si>
  <si>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</si>
  <si>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</si>
  <si>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</si>
  <si>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</si>
  <si>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</si>
  <si>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</si>
  <si>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</si>
  <si>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</si>
  <si>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</si>
  <si>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</si>
  <si>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</si>
  <si>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</si>
  <si>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</si>
  <si>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</si>
  <si>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</si>
  <si>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</si>
  <si>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</si>
  <si>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</si>
  <si>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</si>
  <si>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</si>
  <si>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</si>
  <si>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</si>
  <si>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</si>
  <si>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</si>
  <si>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</si>
  <si>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</si>
  <si>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</si>
  <si>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</si>
  <si>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</si>
  <si>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</si>
  <si>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</si>
  <si>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</si>
  <si>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</si>
  <si>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</si>
  <si>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</si>
  <si>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</si>
  <si>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</si>
  <si>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</si>
  <si>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</si>
  <si>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</si>
  <si>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</si>
  <si>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</si>
  <si>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</si>
  <si>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</si>
  <si>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</si>
  <si>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</si>
  <si>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</si>
  <si>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</si>
  <si>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</si>
  <si>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</si>
  <si>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</si>
  <si>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</si>
  <si>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</si>
  <si>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</si>
  <si>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</si>
  <si>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</si>
  <si>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</si>
  <si>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</si>
  <si>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</si>
  <si>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</si>
  <si>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</si>
  <si>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</si>
  <si>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</si>
  <si>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</si>
  <si>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</si>
  <si>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</si>
  <si>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</si>
  <si>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</si>
  <si>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</si>
  <si>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</si>
  <si>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</si>
  <si>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</si>
  <si>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</si>
  <si>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</si>
  <si>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</si>
  <si>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</si>
  <si>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</si>
  <si>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</si>
  <si>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</si>
  <si>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</si>
  <si>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</si>
  <si>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</si>
  <si>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</si>
  <si>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</si>
  <si>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</si>
  <si>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</si>
  <si>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</si>
  <si>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</si>
  <si>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</si>
  <si>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</si>
  <si>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</si>
  <si>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</si>
  <si>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</si>
  <si>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</si>
  <si>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</si>
  <si>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</si>
  <si>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</si>
  <si>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</si>
  <si>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</si>
  <si>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</si>
  <si>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</si>
  <si>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</si>
  <si>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</si>
  <si>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</si>
  <si>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</si>
  <si>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</si>
  <si>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</si>
  <si>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</si>
  <si>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</si>
  <si>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</si>
  <si>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</si>
  <si>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</si>
  <si>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</si>
  <si>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</si>
  <si>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</si>
  <si>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</si>
  <si>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</si>
  <si>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</si>
  <si>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</si>
  <si>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</si>
  <si>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</si>
  <si>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</si>
  <si>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</si>
  <si>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</si>
  <si>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</si>
  <si>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</si>
  <si>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</si>
  <si>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</si>
  <si>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</si>
  <si>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</si>
  <si>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</si>
  <si>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</si>
  <si>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</si>
  <si>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</si>
  <si>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</si>
  <si>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</si>
  <si>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</si>
  <si>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</si>
  <si>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</si>
  <si>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</si>
  <si>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</si>
  <si>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</si>
  <si>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</si>
  <si>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</si>
  <si>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</si>
  <si>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</si>
  <si>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</si>
  <si>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</si>
  <si>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</si>
  <si>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</si>
  <si>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</si>
  <si>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</si>
  <si>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</si>
  <si>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</si>
  <si>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</si>
  <si>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</si>
  <si>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</si>
  <si>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</si>
  <si>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</si>
  <si>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</si>
  <si>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</si>
  <si>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</si>
  <si>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</si>
  <si>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</si>
  <si>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</si>
  <si>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</si>
  <si>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</si>
  <si>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</si>
  <si>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</si>
  <si>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</si>
  <si>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</si>
  <si>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</si>
  <si>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</si>
  <si>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</si>
  <si>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</si>
  <si>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</si>
  <si>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</si>
  <si>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</si>
  <si>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</si>
  <si>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</si>
  <si>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</si>
  <si>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</si>
  <si>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</si>
  <si>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</si>
  <si>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</si>
  <si>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</si>
  <si>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</si>
  <si>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</si>
  <si>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</si>
  <si>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</si>
  <si>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</si>
  <si>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</si>
  <si>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</si>
  <si>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</si>
  <si>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</si>
  <si>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</si>
  <si>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</si>
  <si>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</si>
  <si>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</si>
  <si>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</si>
  <si>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</si>
  <si>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</si>
  <si>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</si>
  <si>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</si>
  <si>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</si>
  <si>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</si>
  <si>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</si>
  <si>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</si>
  <si>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</si>
  <si>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</si>
  <si>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</si>
  <si>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</si>
  <si>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</si>
  <si>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</si>
  <si>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</si>
  <si>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</si>
  <si>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</si>
  <si>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</si>
  <si>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</si>
  <si>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</si>
  <si>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</si>
  <si>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</si>
  <si>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</si>
  <si>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</si>
  <si>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</si>
  <si>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</si>
  <si>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</si>
  <si>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</si>
  <si>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</si>
  <si>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</si>
  <si>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</si>
  <si>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</si>
  <si>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</si>
  <si>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</si>
  <si>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</si>
  <si>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</si>
  <si>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</si>
  <si>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</si>
  <si>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</si>
  <si>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</si>
  <si>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</si>
  <si>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</si>
  <si>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</si>
  <si>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</si>
  <si>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</si>
  <si>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</si>
  <si>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</si>
  <si>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</si>
  <si>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</si>
  <si>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</si>
  <si>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</si>
  <si>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</si>
  <si>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</si>
  <si>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</si>
  <si>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</si>
  <si>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</si>
  <si>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</si>
  <si>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</si>
  <si>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</si>
  <si>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</si>
  <si>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</si>
  <si>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</si>
  <si>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</si>
  <si>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</si>
  <si>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</si>
  <si>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</si>
  <si>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</si>
  <si>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</si>
  <si>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</si>
  <si>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</si>
  <si>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</si>
  <si>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</si>
  <si>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</si>
  <si>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</si>
  <si>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</si>
  <si>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</si>
  <si>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</si>
  <si>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</si>
  <si>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</si>
  <si>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</si>
  <si>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</si>
  <si>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</si>
  <si>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</si>
  <si>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</si>
  <si>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</si>
  <si>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</si>
  <si>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</si>
  <si>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</si>
  <si>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</si>
  <si>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</si>
  <si>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</si>
  <si>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</si>
  <si>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</si>
  <si>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</si>
  <si>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</si>
  <si>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</si>
  <si>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</si>
  <si>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</si>
  <si>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</si>
  <si>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</si>
  <si>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</si>
  <si>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</si>
  <si>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</si>
  <si>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</si>
  <si>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</si>
  <si>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</si>
  <si>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</si>
  <si>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</si>
  <si>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</si>
  <si>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</si>
  <si>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</si>
  <si>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</si>
  <si>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</si>
  <si>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</si>
  <si>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</si>
  <si>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</si>
  <si>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</si>
  <si>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</si>
  <si>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</si>
  <si>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</si>
  <si>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</si>
  <si>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</si>
  <si>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</si>
  <si>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</si>
  <si>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</si>
  <si>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</si>
  <si>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</si>
  <si>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</si>
  <si>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</si>
  <si>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</si>
  <si>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</si>
  <si>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</si>
  <si>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</si>
  <si>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</si>
  <si>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</si>
  <si>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</si>
  <si>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</si>
  <si>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</si>
  <si>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</si>
  <si>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</si>
  <si>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</si>
  <si>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</si>
  <si>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11024</t>
  </si>
  <si>
    <t>KONTICH</t>
  </si>
  <si>
    <t>Cultuurgrond (ha)</t>
  </si>
  <si>
    <t>Paarden&amp;pony's 200 - 600 kg</t>
  </si>
  <si>
    <t>Paarden&amp;pony's &lt; 200 kg</t>
  </si>
  <si>
    <t>op basis van VEA (maart 2018) en Inventaris Hernieuwbare Energiebronnen (juni 2018)</t>
  </si>
  <si>
    <t>VEA (juni 2018)</t>
  </si>
  <si>
    <t>Eric Van Den Eynde</t>
  </si>
  <si>
    <t>Pierstraat 350, 2550 Kontich</t>
  </si>
  <si>
    <t>WKK-0096 Eric Van Den Eynde</t>
  </si>
  <si>
    <t>interne verbrandingsmotor</t>
  </si>
  <si>
    <t>WKK interne verbrandinsgmotor (gas)</t>
  </si>
  <si>
    <t>IVEKA</t>
  </si>
  <si>
    <t>Groeikracht Pierstraat NV</t>
  </si>
  <si>
    <t>Pierstraat 262, 2550 Kontich</t>
  </si>
  <si>
    <t>WKK-0031 Groeikracht Pierstraat</t>
  </si>
  <si>
    <t>Groeikracht De Boskapel NV</t>
  </si>
  <si>
    <t>Lerenveld 1C, 2550 Kontich</t>
  </si>
  <si>
    <t>WKK-0138 Groeikracht De Boskapel</t>
  </si>
  <si>
    <t>Boskapelweg 1, 2550 Kontich</t>
  </si>
  <si>
    <t>Bloemenkwekerij Scheers bvba</t>
  </si>
  <si>
    <t>Keizershoek 225, 2550 Kontich</t>
  </si>
  <si>
    <t>WKK-0130 Bloemen Scheers</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</si>
</sst>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169180.56532922279</c:v>
                </c:pt>
                <c:pt idx="1">
                  <c:v>118851.58504534277</c:v>
                </c:pt>
                <c:pt idx="2">
                  <c:v>1362.7270000000001</c:v>
                </c:pt>
                <c:pt idx="3">
                  <c:v>62437.565254908644</c:v>
                </c:pt>
                <c:pt idx="4">
                  <c:v>34606.361943180775</c:v>
                </c:pt>
                <c:pt idx="5">
                  <c:v>392679.65365129651</c:v>
                </c:pt>
                <c:pt idx="6">
                  <c:v>2098.7036252974567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0080"/>
        <c:axId val="182671616"/>
      </c:barChart>
      <c:catAx>
        <c:axId val="182670080"/>
        <c:scaling>
          <c:orientation val="minMax"/>
        </c:scaling>
        <c:axPos val="b"/>
        <c:numFmt formatCode="General" sourceLinked="0"/>
        <c:tickLblPos val="nextTo"/>
        <c:crossAx val="182671616"/>
        <c:crosses val="autoZero"/>
        <c:auto val="1"/>
        <c:lblAlgn val="ctr"/>
        <c:lblOffset val="100"/>
      </c:catAx>
      <c:valAx>
        <c:axId val="182671616"/>
        <c:scaling>
          <c:orientation val="minMax"/>
        </c:scaling>
        <c:axPos val="l"/>
        <c:majorGridlines/>
        <c:numFmt formatCode="#,##0" sourceLinked="1"/>
        <c:tickLblPos val="nextTo"/>
        <c:crossAx val="182670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169180.56532922279</c:v>
                </c:pt>
                <c:pt idx="1">
                  <c:v>118851.58504534277</c:v>
                </c:pt>
                <c:pt idx="2">
                  <c:v>1362.7270000000001</c:v>
                </c:pt>
                <c:pt idx="3">
                  <c:v>62437.565254908644</c:v>
                </c:pt>
                <c:pt idx="4">
                  <c:v>34606.361943180775</c:v>
                </c:pt>
                <c:pt idx="5">
                  <c:v>392679.65365129651</c:v>
                </c:pt>
                <c:pt idx="6">
                  <c:v>2098.7036252974567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32365.888495184274</c:v>
                </c:pt>
                <c:pt idx="2">
                  <c:v>25269.531771685335</c:v>
                </c:pt>
                <c:pt idx="3">
                  <c:v>290.30190751326165</c:v>
                </c:pt>
                <c:pt idx="4">
                  <c:v>14999.325392240313</c:v>
                </c:pt>
                <c:pt idx="5">
                  <c:v>6456.1760815490943</c:v>
                </c:pt>
                <c:pt idx="6">
                  <c:v>99390.359088830504</c:v>
                </c:pt>
                <c:pt idx="7">
                  <c:v>536.49463913123043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3840"/>
        <c:axId val="182805632"/>
      </c:barChart>
      <c:catAx>
        <c:axId val="182803840"/>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8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32365.888495184274</c:v>
                </c:pt>
                <c:pt idx="2">
                  <c:v>25269.531771685335</c:v>
                </c:pt>
                <c:pt idx="3">
                  <c:v>290.30190751326165</c:v>
                </c:pt>
                <c:pt idx="4">
                  <c:v>14999.325392240313</c:v>
                </c:pt>
                <c:pt idx="5">
                  <c:v>6456.1760815490943</c:v>
                </c:pt>
                <c:pt idx="6">
                  <c:v>99390.359088830504</c:v>
                </c:pt>
                <c:pt idx="7">
                  <c:v>536.49463913123043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11024</v>
      </c>
      <c r="B6" s="398"/>
      <c r="C6" s="399"/>
    </row>
    <row r="7" spans="1:7" s="396" customFormat="1" ht="15.75" customHeight="1">
      <c r="A7" s="400" t="str">
        <f>txtMunicipality</f>
        <v>KONTICH</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0.21303012820121833</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0.21303012820121833</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11024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8441</v>
      </c>
      <c r="C9" s="338">
        <v>8491</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905</v>
      </c>
    </row>
    <row r="15" spans="1:6">
      <c r="A15" s="1295" t="s">
        <v>184</v>
      </c>
      <c r="B15" s="335">
        <v>351</v>
      </c>
    </row>
    <row r="16" spans="1:6">
      <c r="A16" s="1295" t="s">
        <v>6</v>
      </c>
      <c r="B16" s="335">
        <v>844</v>
      </c>
    </row>
    <row r="17" spans="1:6">
      <c r="A17" s="1295" t="s">
        <v>7</v>
      </c>
      <c r="B17" s="335">
        <v>84</v>
      </c>
    </row>
    <row r="18" spans="1:6">
      <c r="A18" s="1295" t="s">
        <v>8</v>
      </c>
      <c r="B18" s="335">
        <v>584</v>
      </c>
    </row>
    <row r="19" spans="1:6">
      <c r="A19" s="1295" t="s">
        <v>9</v>
      </c>
      <c r="B19" s="335">
        <v>479</v>
      </c>
    </row>
    <row r="20" spans="1:6">
      <c r="A20" s="1295" t="s">
        <v>10</v>
      </c>
      <c r="B20" s="335">
        <v>373</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133</v>
      </c>
    </row>
    <row r="27" spans="1:6">
      <c r="A27" s="1295" t="s">
        <v>17</v>
      </c>
      <c r="B27" s="335">
        <v>5</v>
      </c>
    </row>
    <row r="28" spans="1:6" s="341" customFormat="1">
      <c r="A28" s="1296" t="s">
        <v>18</v>
      </c>
      <c r="B28" s="1296">
        <v>0</v>
      </c>
    </row>
    <row r="29" spans="1:6">
      <c r="A29" s="1296" t="s">
        <v>909</v>
      </c>
      <c r="B29" s="1296">
        <v>80</v>
      </c>
      <c r="C29" s="341"/>
      <c r="D29" s="341"/>
      <c r="E29" s="341"/>
      <c r="F29" s="341"/>
    </row>
    <row r="30" spans="1:6">
      <c r="A30" s="1291" t="s">
        <v>910</v>
      </c>
      <c r="B30" s="1291">
        <v>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v>
      </c>
      <c r="F36" s="335">
        <v>475737.55484539497</v>
      </c>
    </row>
    <row r="37" spans="1:6">
      <c r="A37" s="1295" t="s">
        <v>25</v>
      </c>
      <c r="B37" s="1295" t="s">
        <v>28</v>
      </c>
      <c r="C37" s="335">
        <v>0</v>
      </c>
      <c r="D37" s="335">
        <v>0</v>
      </c>
      <c r="E37" s="335">
        <v>0</v>
      </c>
      <c r="F37" s="335">
        <v>0</v>
      </c>
    </row>
    <row r="38" spans="1:6">
      <c r="A38" s="1295" t="s">
        <v>25</v>
      </c>
      <c r="B38" s="1295" t="s">
        <v>29</v>
      </c>
      <c r="C38" s="335">
        <v>2</v>
      </c>
      <c r="D38" s="335">
        <v>24704432.958912</v>
      </c>
      <c r="E38" s="335">
        <v>3</v>
      </c>
      <c r="F38" s="335">
        <v>100577.34683777</v>
      </c>
    </row>
    <row r="39" spans="1:6">
      <c r="A39" s="1295" t="s">
        <v>30</v>
      </c>
      <c r="B39" s="1295" t="s">
        <v>31</v>
      </c>
      <c r="C39" s="335">
        <v>6780</v>
      </c>
      <c r="D39" s="335">
        <v>131440847.253089</v>
      </c>
      <c r="E39" s="335">
        <v>8355</v>
      </c>
      <c r="F39" s="335">
        <v>35483819.0091388</v>
      </c>
    </row>
    <row r="40" spans="1:6">
      <c r="A40" s="1295" t="s">
        <v>30</v>
      </c>
      <c r="B40" s="1295" t="s">
        <v>29</v>
      </c>
      <c r="C40" s="335">
        <v>0</v>
      </c>
      <c r="D40" s="335">
        <v>0</v>
      </c>
      <c r="E40" s="335">
        <v>1</v>
      </c>
      <c r="F40" s="335">
        <v>1.695014791</v>
      </c>
    </row>
    <row r="41" spans="1:6">
      <c r="A41" s="1295" t="s">
        <v>32</v>
      </c>
      <c r="B41" s="1295" t="s">
        <v>33</v>
      </c>
      <c r="C41" s="335">
        <v>66</v>
      </c>
      <c r="D41" s="335">
        <v>5876289.4700042298</v>
      </c>
      <c r="E41" s="335">
        <v>137</v>
      </c>
      <c r="F41" s="335">
        <v>3650096.6511643799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191949.94683196899</v>
      </c>
      <c r="E44" s="335">
        <v>18</v>
      </c>
      <c r="F44" s="335">
        <v>437028.03192286799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124680.731605087</v>
      </c>
      <c r="E47" s="335">
        <v>5</v>
      </c>
      <c r="F47" s="335">
        <v>1384096.7854629999</v>
      </c>
    </row>
    <row r="48" spans="1:6">
      <c r="A48" s="1295" t="s">
        <v>32</v>
      </c>
      <c r="B48" s="1295" t="s">
        <v>29</v>
      </c>
      <c r="C48" s="335">
        <v>36</v>
      </c>
      <c r="D48" s="335">
        <v>5832358.5090130297</v>
      </c>
      <c r="E48" s="335">
        <v>37</v>
      </c>
      <c r="F48" s="335">
        <v>2753667.5197860501</v>
      </c>
    </row>
    <row r="49" spans="1:6">
      <c r="A49" s="1295" t="s">
        <v>32</v>
      </c>
      <c r="B49" s="1295" t="s">
        <v>40</v>
      </c>
      <c r="C49" s="335">
        <v>0</v>
      </c>
      <c r="D49" s="335">
        <v>0</v>
      </c>
      <c r="E49" s="335">
        <v>4</v>
      </c>
      <c r="F49" s="335">
        <v>165173.2295509</v>
      </c>
    </row>
    <row r="50" spans="1:6">
      <c r="A50" s="1295" t="s">
        <v>32</v>
      </c>
      <c r="B50" s="1295" t="s">
        <v>41</v>
      </c>
      <c r="C50" s="335">
        <v>11</v>
      </c>
      <c r="D50" s="335">
        <v>1945783.5943948801</v>
      </c>
      <c r="E50" s="335">
        <v>13</v>
      </c>
      <c r="F50" s="335">
        <v>1547359.4285994601</v>
      </c>
    </row>
    <row r="51" spans="1:6">
      <c r="A51" s="1295" t="s">
        <v>42</v>
      </c>
      <c r="B51" s="1295" t="s">
        <v>43</v>
      </c>
      <c r="C51" s="335">
        <v>6</v>
      </c>
      <c r="D51" s="335">
        <v>74161226.124189794</v>
      </c>
      <c r="E51" s="335">
        <v>51</v>
      </c>
      <c r="F51" s="335">
        <v>1539124.0314650701</v>
      </c>
    </row>
    <row r="52" spans="1:6">
      <c r="A52" s="1295" t="s">
        <v>42</v>
      </c>
      <c r="B52" s="1295" t="s">
        <v>29</v>
      </c>
      <c r="C52" s="335">
        <v>3</v>
      </c>
      <c r="D52" s="335">
        <v>30195.335570852701</v>
      </c>
      <c r="E52" s="335">
        <v>9</v>
      </c>
      <c r="F52" s="335">
        <v>175597.43344423801</v>
      </c>
    </row>
    <row r="53" spans="1:6">
      <c r="A53" s="1295" t="s">
        <v>44</v>
      </c>
      <c r="B53" s="1295" t="s">
        <v>45</v>
      </c>
      <c r="C53" s="335">
        <v>144</v>
      </c>
      <c r="D53" s="335">
        <v>5710926.4551742896</v>
      </c>
      <c r="E53" s="335">
        <v>304</v>
      </c>
      <c r="F53" s="335">
        <v>1470233.9063715099</v>
      </c>
    </row>
    <row r="54" spans="1:6">
      <c r="A54" s="1295" t="s">
        <v>46</v>
      </c>
      <c r="B54" s="1295" t="s">
        <v>47</v>
      </c>
      <c r="C54" s="335">
        <v>0</v>
      </c>
      <c r="D54" s="335">
        <v>0</v>
      </c>
      <c r="E54" s="335">
        <v>1</v>
      </c>
      <c r="F54" s="335">
        <v>1362727</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39</v>
      </c>
      <c r="D57" s="335">
        <v>3744457.8104930599</v>
      </c>
      <c r="E57" s="335">
        <v>65</v>
      </c>
      <c r="F57" s="335">
        <v>2009630.2933436299</v>
      </c>
    </row>
    <row r="58" spans="1:6">
      <c r="A58" s="1295" t="s">
        <v>49</v>
      </c>
      <c r="B58" s="1295" t="s">
        <v>51</v>
      </c>
      <c r="C58" s="335">
        <v>46</v>
      </c>
      <c r="D58" s="335">
        <v>3681139.4486261602</v>
      </c>
      <c r="E58" s="335">
        <v>54</v>
      </c>
      <c r="F58" s="335">
        <v>1482987.6879571599</v>
      </c>
    </row>
    <row r="59" spans="1:6">
      <c r="A59" s="1295" t="s">
        <v>49</v>
      </c>
      <c r="B59" s="1295" t="s">
        <v>52</v>
      </c>
      <c r="C59" s="335">
        <v>177</v>
      </c>
      <c r="D59" s="335">
        <v>21012365.861600999</v>
      </c>
      <c r="E59" s="335">
        <v>317</v>
      </c>
      <c r="F59" s="335">
        <v>18680491.7119008</v>
      </c>
    </row>
    <row r="60" spans="1:6">
      <c r="A60" s="1295" t="s">
        <v>49</v>
      </c>
      <c r="B60" s="1295" t="s">
        <v>53</v>
      </c>
      <c r="C60" s="335">
        <v>54</v>
      </c>
      <c r="D60" s="335">
        <v>3492737.6262288601</v>
      </c>
      <c r="E60" s="335">
        <v>66</v>
      </c>
      <c r="F60" s="335">
        <v>2684174.7722535599</v>
      </c>
    </row>
    <row r="61" spans="1:6">
      <c r="A61" s="1295" t="s">
        <v>49</v>
      </c>
      <c r="B61" s="1295" t="s">
        <v>54</v>
      </c>
      <c r="C61" s="335">
        <v>265</v>
      </c>
      <c r="D61" s="335">
        <v>19639664.826873999</v>
      </c>
      <c r="E61" s="335">
        <v>489</v>
      </c>
      <c r="F61" s="335">
        <v>16989250.1110848</v>
      </c>
    </row>
    <row r="62" spans="1:6">
      <c r="A62" s="1295" t="s">
        <v>49</v>
      </c>
      <c r="B62" s="1295" t="s">
        <v>55</v>
      </c>
      <c r="C62" s="335">
        <v>11</v>
      </c>
      <c r="D62" s="335">
        <v>2050050.3151149601</v>
      </c>
      <c r="E62" s="335">
        <v>9</v>
      </c>
      <c r="F62" s="335">
        <v>517117.26338704402</v>
      </c>
    </row>
    <row r="63" spans="1:6">
      <c r="A63" s="1295" t="s">
        <v>49</v>
      </c>
      <c r="B63" s="1295" t="s">
        <v>29</v>
      </c>
      <c r="C63" s="335">
        <v>104</v>
      </c>
      <c r="D63" s="335">
        <v>18663765.514586199</v>
      </c>
      <c r="E63" s="335">
        <v>109</v>
      </c>
      <c r="F63" s="335">
        <v>4277613.8007919304</v>
      </c>
    </row>
    <row r="64" spans="1:6">
      <c r="A64" s="1295" t="s">
        <v>56</v>
      </c>
      <c r="B64" s="1295" t="s">
        <v>57</v>
      </c>
      <c r="C64" s="335">
        <v>0</v>
      </c>
      <c r="D64" s="335">
        <v>0</v>
      </c>
      <c r="E64" s="335">
        <v>0</v>
      </c>
      <c r="F64" s="335">
        <v>0</v>
      </c>
    </row>
    <row r="65" spans="1:6">
      <c r="A65" s="1295" t="s">
        <v>56</v>
      </c>
      <c r="B65" s="1295" t="s">
        <v>29</v>
      </c>
      <c r="C65" s="335">
        <v>2</v>
      </c>
      <c r="D65" s="335">
        <v>54738.078097840204</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4</v>
      </c>
      <c r="D68" s="335">
        <v>64805.280070036002</v>
      </c>
      <c r="E68" s="335">
        <v>12</v>
      </c>
      <c r="F68" s="335">
        <v>221524.713009167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141200891</v>
      </c>
      <c r="E73" s="335">
        <v>148925219.32812622</v>
      </c>
    </row>
    <row r="74" spans="1:6">
      <c r="A74" s="1295" t="s">
        <v>64</v>
      </c>
      <c r="B74" s="1295" t="s">
        <v>727</v>
      </c>
      <c r="C74" s="1295" t="s">
        <v>728</v>
      </c>
      <c r="D74" s="335">
        <v>24325146.764493484</v>
      </c>
      <c r="E74" s="335">
        <v>23405748.638200089</v>
      </c>
    </row>
    <row r="75" spans="1:6">
      <c r="A75" s="1295" t="s">
        <v>65</v>
      </c>
      <c r="B75" s="1295" t="s">
        <v>725</v>
      </c>
      <c r="C75" s="1295" t="s">
        <v>729</v>
      </c>
      <c r="D75" s="335">
        <v>33532412</v>
      </c>
      <c r="E75" s="335">
        <v>34751155.99941092</v>
      </c>
    </row>
    <row r="76" spans="1:6">
      <c r="A76" s="1295" t="s">
        <v>65</v>
      </c>
      <c r="B76" s="1295" t="s">
        <v>727</v>
      </c>
      <c r="C76" s="1295" t="s">
        <v>730</v>
      </c>
      <c r="D76" s="335">
        <v>3848892.7644934841</v>
      </c>
      <c r="E76" s="335">
        <v>3670357.6113872821</v>
      </c>
    </row>
    <row r="77" spans="1:6">
      <c r="A77" s="1295" t="s">
        <v>66</v>
      </c>
      <c r="B77" s="1295" t="s">
        <v>725</v>
      </c>
      <c r="C77" s="1295" t="s">
        <v>731</v>
      </c>
      <c r="D77" s="335">
        <v>204082189</v>
      </c>
      <c r="E77" s="335">
        <v>229290403.7434665</v>
      </c>
    </row>
    <row r="78" spans="1:6">
      <c r="A78" s="1291" t="s">
        <v>66</v>
      </c>
      <c r="B78" s="1291" t="s">
        <v>727</v>
      </c>
      <c r="C78" s="1291" t="s">
        <v>732</v>
      </c>
      <c r="D78" s="1291">
        <v>23630454</v>
      </c>
      <c r="E78" s="1291">
        <v>26157884.905600578</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554452.47101303225</v>
      </c>
      <c r="C83" s="335">
        <v>547762.94476341119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2808.0039999999999</v>
      </c>
    </row>
    <row r="92" spans="1:6">
      <c r="A92" s="1291" t="s">
        <v>69</v>
      </c>
      <c r="B92" s="338">
        <v>4669.692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5036</v>
      </c>
    </row>
    <row r="98" spans="1:6">
      <c r="A98" s="1295" t="s">
        <v>72</v>
      </c>
      <c r="B98" s="335">
        <v>8</v>
      </c>
    </row>
    <row r="99" spans="1:6">
      <c r="A99" s="1295" t="s">
        <v>73</v>
      </c>
      <c r="B99" s="335">
        <v>24</v>
      </c>
    </row>
    <row r="100" spans="1:6">
      <c r="A100" s="1295" t="s">
        <v>74</v>
      </c>
      <c r="B100" s="335">
        <v>636</v>
      </c>
    </row>
    <row r="101" spans="1:6">
      <c r="A101" s="1295" t="s">
        <v>75</v>
      </c>
      <c r="B101" s="335">
        <v>60</v>
      </c>
    </row>
    <row r="102" spans="1:6">
      <c r="A102" s="1295" t="s">
        <v>76</v>
      </c>
      <c r="B102" s="335">
        <v>89</v>
      </c>
    </row>
    <row r="103" spans="1:6">
      <c r="A103" s="1295" t="s">
        <v>77</v>
      </c>
      <c r="B103" s="335">
        <v>100</v>
      </c>
    </row>
    <row r="104" spans="1:6">
      <c r="A104" s="1295" t="s">
        <v>78</v>
      </c>
      <c r="B104" s="335">
        <v>1453</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5</v>
      </c>
      <c r="C123" s="335">
        <v>15</v>
      </c>
    </row>
    <row r="124" spans="1:6">
      <c r="A124" s="1291" t="s">
        <v>89</v>
      </c>
      <c r="B124" s="335">
        <v>1</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102</v>
      </c>
    </row>
    <row r="130" spans="1:6">
      <c r="A130" s="1295" t="s">
        <v>295</v>
      </c>
      <c r="B130" s="335">
        <v>0</v>
      </c>
    </row>
    <row r="131" spans="1:6">
      <c r="A131" s="1295" t="s">
        <v>296</v>
      </c>
      <c r="B131" s="335">
        <v>4</v>
      </c>
    </row>
    <row r="132" spans="1:6">
      <c r="A132" s="1291" t="s">
        <v>297</v>
      </c>
      <c r="B132" s="338">
        <v>9</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108564.87918330668</v>
      </c>
      <c r="C3" s="43" t="s">
        <v>170</v>
      </c>
      <c r="D3" s="43"/>
      <c r="E3" s="156"/>
      <c r="F3" s="43"/>
      <c r="G3" s="43"/>
      <c r="H3" s="43"/>
      <c r="I3" s="43"/>
      <c r="J3" s="43"/>
      <c r="K3" s="96"/>
    </row>
    <row r="4" spans="1:11">
      <c r="A4" s="366" t="s">
        <v>171</v>
      </c>
      <c r="B4" s="49">
        <f>IF(ISERROR('SEAP template'!B78+'SEAP template'!C78),0,'SEAP template'!B78+'SEAP template'!C78)</f>
        <v>54772.695999999996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11239.517647058825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0.21303012820121833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16056.453781512606</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67564.28571428571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1362.7270000000001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1362.7270000000001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0.21303012820121833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290.30190751326165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35483.820704153593</v>
      </c>
      <c r="C5" s="17">
        <f>IF(ISERROR('Eigen informatie GS &amp; warmtenet'!B57),0,'Eigen informatie GS &amp; warmtenet'!B57)</f>
        <v>0</v>
      </c>
      <c r="D5" s="30">
        <f>(SUM(HH_hh_gas_kWh,HH_rest_gas_kWh)/1000)*0.902</f>
        <v>118559.64422228627</v>
      </c>
      <c r="E5" s="17">
        <f>B46*B57</f>
        <v>1143.2953149692783</v>
      </c>
      <c r="F5" s="17">
        <f>B51*B62</f>
        <v>0</v>
      </c>
      <c r="G5" s="18"/>
      <c r="H5" s="17"/>
      <c r="I5" s="17"/>
      <c r="J5" s="17">
        <f>B50*B61+C50*C61</f>
        <v>0</v>
      </c>
      <c r="K5" s="17"/>
      <c r="L5" s="17"/>
      <c r="M5" s="17"/>
      <c r="N5" s="17">
        <f>B48*B59+C48*C59</f>
        <v>10715.3277544803</v>
      </c>
      <c r="O5" s="17">
        <f>B69*B70*B71</f>
        <v>184.47333333333336</v>
      </c>
      <c r="P5" s="17">
        <f>B77*B78*B79/1000-B77*B78*B79/1000/B80</f>
        <v>286</v>
      </c>
    </row>
    <row r="6" spans="1:16">
      <c r="A6" s="16" t="s">
        <v>634</v>
      </c>
      <c r="B6" s="783">
        <f>kWh_PV_kleiner_dan_10kW</f>
        <v>2808.0039999999999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38291.824704153594</v>
      </c>
      <c r="C8" s="21">
        <f>C5</f>
        <v>0</v>
      </c>
      <c r="D8" s="21">
        <f>D5</f>
        <v>118559.64422228627</v>
      </c>
      <c r="E8" s="21">
        <f>E5</f>
        <v>1143.2953149692783</v>
      </c>
      <c r="F8" s="21">
        <f>F5</f>
        <v>0</v>
      </c>
      <c r="G8" s="21"/>
      <c r="H8" s="21"/>
      <c r="I8" s="21"/>
      <c r="J8" s="21">
        <f>J5</f>
        <v>0</v>
      </c>
      <c r="K8" s="21"/>
      <c r="L8" s="21">
        <f>L5</f>
        <v>0</v>
      </c>
      <c r="M8" s="21">
        <f>M5</f>
        <v>0</v>
      </c>
      <c r="N8" s="21">
        <f>N5</f>
        <v>10715.3277544803</v>
      </c>
      <c r="O8" s="21">
        <f>O5</f>
        <v>184.47333333333336</v>
      </c>
      <c r="P8" s="21">
        <f>P5</f>
        <v>286</v>
      </c>
    </row>
    <row r="9" spans="1:16">
      <c r="B9" s="19"/>
      <c r="C9" s="19"/>
      <c r="D9" s="261"/>
      <c r="E9" s="19"/>
      <c r="F9" s="19"/>
      <c r="G9" s="19"/>
      <c r="H9" s="19"/>
      <c r="I9" s="19"/>
      <c r="J9" s="19"/>
      <c r="K9" s="19"/>
      <c r="L9" s="19"/>
      <c r="M9" s="19"/>
      <c r="N9" s="19"/>
      <c r="O9" s="19"/>
      <c r="P9" s="19"/>
    </row>
    <row r="10" spans="1:16">
      <c r="A10" s="24" t="s">
        <v>214</v>
      </c>
      <c r="B10" s="25">
        <f ca="1">'EF ele_warmte'!B12</f>
        <v>0.21303012820121833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8157.312325784419</v>
      </c>
      <c r="C12" s="23">
        <f ca="1">C10*C8</f>
        <v>0</v>
      </c>
      <c r="D12" s="23">
        <f>D8*D10</f>
        <v>23949.048132901829</v>
      </c>
      <c r="E12" s="23">
        <f>E10*E8</f>
        <v>259.52803649802615</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5036</v>
      </c>
      <c r="C18" s="168" t="s">
        <v>111</v>
      </c>
      <c r="D18" s="230"/>
      <c r="E18" s="15"/>
    </row>
    <row r="19" spans="1:7">
      <c r="A19" s="173" t="s">
        <v>72</v>
      </c>
      <c r="B19" s="37">
        <f>aantalw2001_ander</f>
        <v>8</v>
      </c>
      <c r="C19" s="168" t="s">
        <v>111</v>
      </c>
      <c r="D19" s="231"/>
      <c r="E19" s="15"/>
    </row>
    <row r="20" spans="1:7">
      <c r="A20" s="173" t="s">
        <v>73</v>
      </c>
      <c r="B20" s="37">
        <f>aantalw2001_propaan</f>
        <v>24</v>
      </c>
      <c r="C20" s="169">
        <f>IF(ISERROR(B20/SUM($B$20,$B$21,$B$22)*100),0,B20/SUM($B$20,$B$21,$B$22)*100)</f>
        <v>3.3333333333333335</v>
      </c>
      <c r="D20" s="231"/>
      <c r="E20" s="15"/>
    </row>
    <row r="21" spans="1:7">
      <c r="A21" s="173" t="s">
        <v>74</v>
      </c>
      <c r="B21" s="37">
        <f>aantalw2001_elektriciteit</f>
        <v>636</v>
      </c>
      <c r="C21" s="169">
        <f>IF(ISERROR(B21/SUM($B$20,$B$21,$B$22)*100),0,B21/SUM($B$20,$B$21,$B$22)*100)</f>
        <v>88.333333333333329</v>
      </c>
      <c r="D21" s="231"/>
      <c r="E21" s="15"/>
    </row>
    <row r="22" spans="1:7">
      <c r="A22" s="173" t="s">
        <v>75</v>
      </c>
      <c r="B22" s="37">
        <f>aantalw2001_hout</f>
        <v>60</v>
      </c>
      <c r="C22" s="169">
        <f>IF(ISERROR(B22/SUM($B$20,$B$21,$B$22)*100),0,B22/SUM($B$20,$B$21,$B$22)*100)</f>
        <v>8.3333333333333321</v>
      </c>
      <c r="D22" s="231"/>
      <c r="E22" s="15"/>
    </row>
    <row r="23" spans="1:7">
      <c r="A23" s="173" t="s">
        <v>76</v>
      </c>
      <c r="B23" s="37">
        <f>aantalw2001_niet_gespec</f>
        <v>89</v>
      </c>
      <c r="C23" s="168" t="s">
        <v>111</v>
      </c>
      <c r="D23" s="230"/>
      <c r="E23" s="15"/>
    </row>
    <row r="24" spans="1:7">
      <c r="A24" s="173" t="s">
        <v>77</v>
      </c>
      <c r="B24" s="37">
        <f>aantalw2001_steenkool</f>
        <v>100</v>
      </c>
      <c r="C24" s="168" t="s">
        <v>111</v>
      </c>
      <c r="D24" s="231"/>
      <c r="E24" s="15"/>
    </row>
    <row r="25" spans="1:7">
      <c r="A25" s="173" t="s">
        <v>78</v>
      </c>
      <c r="B25" s="37">
        <f>aantalw2001_stookolie</f>
        <v>1453</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8441</v>
      </c>
      <c r="C28" s="36"/>
      <c r="D28" s="230"/>
    </row>
    <row r="29" spans="1:7" s="15" customFormat="1">
      <c r="A29" s="232" t="s">
        <v>746</v>
      </c>
      <c r="B29" s="37">
        <f>SUM(HH_hh_gas_aantal,HH_rest_gas_aantal)</f>
        <v>6780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6780</v>
      </c>
      <c r="C32" s="169">
        <f>IF(ISERROR(B32/SUM($B$32,$B$34,$B$35,$B$36,$B$38,$B$39)*100),0,B32/SUM($B$32,$B$34,$B$35,$B$36,$B$38,$B$39)*100)</f>
        <v>80.465226679325895</v>
      </c>
      <c r="D32" s="235"/>
      <c r="G32" s="15"/>
    </row>
    <row r="33" spans="1:7">
      <c r="A33" s="173" t="s">
        <v>72</v>
      </c>
      <c r="B33" s="34" t="s">
        <v>111</v>
      </c>
      <c r="C33" s="169"/>
      <c r="D33" s="235"/>
      <c r="G33" s="15"/>
    </row>
    <row r="34" spans="1:7">
      <c r="A34" s="173" t="s">
        <v>73</v>
      </c>
      <c r="B34" s="33">
        <f>IF((($B$28-$B$32-$B$39-$B$77-$B$38)*C20/100)&lt;0,0,($B$28-$B$32-$B$39-$B$77-$B$38)*C20/100)</f>
        <v>54.866666666666667</v>
      </c>
      <c r="C34" s="169">
        <f>IF(ISERROR(B34/SUM($B$32,$B$34,$B$35,$B$36,$B$38,$B$39)*100),0,B34/SUM($B$32,$B$34,$B$35,$B$36,$B$38,$B$39)*100)</f>
        <v>0.65115911068913679</v>
      </c>
      <c r="D34" s="235"/>
      <c r="G34" s="15"/>
    </row>
    <row r="35" spans="1:7">
      <c r="A35" s="173" t="s">
        <v>74</v>
      </c>
      <c r="B35" s="33">
        <f>IF((($B$28-$B$32-$B$39-$B$77-$B$38)*C21/100)&lt;0,0,($B$28-$B$32-$B$39-$B$77-$B$38)*C21/100)</f>
        <v>1453.9666666666665</v>
      </c>
      <c r="C35" s="169">
        <f>IF(ISERROR(B35/SUM($B$32,$B$34,$B$35,$B$36,$B$38,$B$39)*100),0,B35/SUM($B$32,$B$34,$B$35,$B$36,$B$38,$B$39)*100)</f>
        <v>17.255716433262123</v>
      </c>
      <c r="D35" s="235"/>
      <c r="G35" s="15"/>
    </row>
    <row r="36" spans="1:7">
      <c r="A36" s="173" t="s">
        <v>75</v>
      </c>
      <c r="B36" s="33">
        <f>IF((($B$28-$B$32-$B$39-$B$77-$B$38)*C22/100)&lt;0,0,($B$28-$B$32-$B$39-$B$77-$B$38)*C22/100)</f>
        <v>137.16666666666663</v>
      </c>
      <c r="C36" s="169">
        <f>IF(ISERROR(B36/SUM($B$32,$B$34,$B$35,$B$36,$B$38,$B$39)*100),0,B36/SUM($B$32,$B$34,$B$35,$B$36,$B$38,$B$39)*100)</f>
        <v>1.6278977767228415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6780</v>
      </c>
      <c r="C44" s="34" t="s">
        <v>111</v>
      </c>
      <c r="D44" s="176"/>
    </row>
    <row r="45" spans="1:7">
      <c r="A45" s="173" t="s">
        <v>72</v>
      </c>
      <c r="B45" s="33" t="str">
        <f t="shared" si="0"/>
        <v>-</v>
      </c>
      <c r="C45" s="34" t="s">
        <v>111</v>
      </c>
      <c r="D45" s="176"/>
    </row>
    <row r="46" spans="1:7">
      <c r="A46" s="173" t="s">
        <v>73</v>
      </c>
      <c r="B46" s="33">
        <f t="shared" si="0"/>
        <v>54.866666666666667</v>
      </c>
      <c r="C46" s="34" t="s">
        <v>111</v>
      </c>
      <c r="D46" s="176"/>
    </row>
    <row r="47" spans="1:7">
      <c r="A47" s="173" t="s">
        <v>74</v>
      </c>
      <c r="B47" s="33">
        <f t="shared" si="0"/>
        <v>1453.9666666666665</v>
      </c>
      <c r="C47" s="34" t="s">
        <v>111</v>
      </c>
      <c r="D47" s="176"/>
    </row>
    <row r="48" spans="1:7">
      <c r="A48" s="173" t="s">
        <v>75</v>
      </c>
      <c r="B48" s="33">
        <f t="shared" si="0"/>
        <v>137.16666666666663</v>
      </c>
      <c r="C48" s="33">
        <f>B48*10</f>
        <v>1371.6666666666663</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46641.265640718921</v>
      </c>
      <c r="C5" s="17">
        <f>IF(ISERROR('Eigen informatie GS &amp; warmtenet'!B58),0,'Eigen informatie GS &amp; warmtenet'!B58)</f>
        <v>0</v>
      </c>
      <c r="D5" s="30">
        <f>SUM(D6:D12)</f>
        <v>65200.331625978863</v>
      </c>
      <c r="E5" s="17">
        <f>SUM(E6:E12)</f>
        <v>549.64760057268927</v>
      </c>
      <c r="F5" s="17">
        <f>SUM(F6:F12)</f>
        <v>8475.4834751212966</v>
      </c>
      <c r="G5" s="18"/>
      <c r="H5" s="17"/>
      <c r="I5" s="17"/>
      <c r="J5" s="17">
        <f>SUM(J6:J12)</f>
        <v>0</v>
      </c>
      <c r="K5" s="17"/>
      <c r="L5" s="17"/>
      <c r="M5" s="17"/>
      <c r="N5" s="17">
        <f>SUM(N6:N12)</f>
        <v>1819.7328934272055</v>
      </c>
      <c r="O5" s="17">
        <f>B38*B39*B40</f>
        <v>0</v>
      </c>
      <c r="P5" s="17">
        <f>B46*B47*B48/1000-B46*B47*B48/1000/B49</f>
        <v>76.266666666666666</v>
      </c>
      <c r="R5" s="32"/>
    </row>
    <row r="6" spans="1:18">
      <c r="A6" s="32" t="s">
        <v>54</v>
      </c>
      <c r="B6" s="37">
        <f>B26</f>
        <v>16989.250111084799</v>
      </c>
      <c r="C6" s="33"/>
      <c r="D6" s="37">
        <f>IF(ISERROR(TER_kantoor_gas_kWh/1000),0,TER_kantoor_gas_kWh/1000)*0.902</f>
        <v>17714.977673840349</v>
      </c>
      <c r="E6" s="33">
        <f>$C$26*'E Balans VL '!I12/100/3.6*1000000</f>
        <v>66.006833515381928</v>
      </c>
      <c r="F6" s="33">
        <f>$C$26*('E Balans VL '!L12+'E Balans VL '!N12)/100/3.6*1000000</f>
        <v>2583.9103520449594</v>
      </c>
      <c r="G6" s="34"/>
      <c r="H6" s="33"/>
      <c r="I6" s="33"/>
      <c r="J6" s="33">
        <f>$C$26*('E Balans VL '!D12+'E Balans VL '!E12)/100/3.6*1000000</f>
        <v>0</v>
      </c>
      <c r="K6" s="33"/>
      <c r="L6" s="33"/>
      <c r="M6" s="33"/>
      <c r="N6" s="33">
        <f>$C$26*'E Balans VL '!Y12/100/3.6*1000000</f>
        <v>9.3631120732487485</v>
      </c>
      <c r="O6" s="33"/>
      <c r="P6" s="33"/>
      <c r="R6" s="32"/>
    </row>
    <row r="7" spans="1:18">
      <c r="A7" s="32" t="s">
        <v>53</v>
      </c>
      <c r="B7" s="37">
        <f t="shared" ref="B7:B12" si="0">B27</f>
        <v>2684.1747722535597</v>
      </c>
      <c r="C7" s="33"/>
      <c r="D7" s="37">
        <f>IF(ISERROR(TER_horeca_gas_kWh/1000),0,TER_horeca_gas_kWh/1000)*0.902</f>
        <v>3150.4493388584319</v>
      </c>
      <c r="E7" s="33">
        <f>$C$27*'E Balans VL '!I9/100/3.6*1000000</f>
        <v>151.20028255047851</v>
      </c>
      <c r="F7" s="33">
        <f>$C$27*('E Balans VL '!L9+'E Balans VL '!N9)/100/3.6*1000000</f>
        <v>773.95530605480565</v>
      </c>
      <c r="G7" s="34"/>
      <c r="H7" s="33"/>
      <c r="I7" s="33"/>
      <c r="J7" s="33">
        <f>$C$27*('E Balans VL '!D9+'E Balans VL '!E9)/100/3.6*1000000</f>
        <v>0</v>
      </c>
      <c r="K7" s="33"/>
      <c r="L7" s="33"/>
      <c r="M7" s="33"/>
      <c r="N7" s="33">
        <f>$C$27*'E Balans VL '!Y9/100/3.6*1000000</f>
        <v>0.74108670633473994</v>
      </c>
      <c r="O7" s="33"/>
      <c r="P7" s="33"/>
      <c r="R7" s="32"/>
    </row>
    <row r="8" spans="1:18">
      <c r="A8" s="6" t="s">
        <v>52</v>
      </c>
      <c r="B8" s="37">
        <f t="shared" si="0"/>
        <v>18680.491711900799</v>
      </c>
      <c r="C8" s="33"/>
      <c r="D8" s="37">
        <f>IF(ISERROR(TER_handel_gas_kWh/1000),0,TER_handel_gas_kWh/1000)*0.902</f>
        <v>18953.154007164103</v>
      </c>
      <c r="E8" s="33">
        <f>$C$28*'E Balans VL '!I13/100/3.6*1000000</f>
        <v>269.24926217243842</v>
      </c>
      <c r="F8" s="33">
        <f>$C$28*('E Balans VL '!L13+'E Balans VL '!N13)/100/3.6*1000000</f>
        <v>3245.2364496531864</v>
      </c>
      <c r="G8" s="34"/>
      <c r="H8" s="33"/>
      <c r="I8" s="33"/>
      <c r="J8" s="33">
        <f>$C$28*('E Balans VL '!D13+'E Balans VL '!E13)/100/3.6*1000000</f>
        <v>0</v>
      </c>
      <c r="K8" s="33"/>
      <c r="L8" s="33"/>
      <c r="M8" s="33"/>
      <c r="N8" s="33">
        <f>$C$28*'E Balans VL '!Y13/100/3.6*1000000</f>
        <v>55.968832724031323</v>
      </c>
      <c r="O8" s="33"/>
      <c r="P8" s="33"/>
      <c r="R8" s="32"/>
    </row>
    <row r="9" spans="1:18">
      <c r="A9" s="32" t="s">
        <v>51</v>
      </c>
      <c r="B9" s="37">
        <f t="shared" si="0"/>
        <v>1482.98768795716</v>
      </c>
      <c r="C9" s="33"/>
      <c r="D9" s="37">
        <f>IF(ISERROR(TER_gezond_gas_kWh/1000),0,TER_gezond_gas_kWh/1000)*0.902</f>
        <v>3320.3877826607963</v>
      </c>
      <c r="E9" s="33">
        <f>$C$29*'E Balans VL '!I10/100/3.6*1000000</f>
        <v>1.5842152270311931</v>
      </c>
      <c r="F9" s="33">
        <f>$C$29*('E Balans VL '!L10+'E Balans VL '!N10)/100/3.6*1000000</f>
        <v>241.92036159290063</v>
      </c>
      <c r="G9" s="34"/>
      <c r="H9" s="33"/>
      <c r="I9" s="33"/>
      <c r="J9" s="33">
        <f>$C$29*('E Balans VL '!D10+'E Balans VL '!E10)/100/3.6*1000000</f>
        <v>0</v>
      </c>
      <c r="K9" s="33"/>
      <c r="L9" s="33"/>
      <c r="M9" s="33"/>
      <c r="N9" s="33">
        <f>$C$29*'E Balans VL '!Y10/100/3.6*1000000</f>
        <v>15.266512071625682</v>
      </c>
      <c r="O9" s="33"/>
      <c r="P9" s="33"/>
      <c r="R9" s="32"/>
    </row>
    <row r="10" spans="1:18">
      <c r="A10" s="32" t="s">
        <v>50</v>
      </c>
      <c r="B10" s="37">
        <f t="shared" si="0"/>
        <v>2009.63029334363</v>
      </c>
      <c r="C10" s="33"/>
      <c r="D10" s="37">
        <f>IF(ISERROR(TER_ander_gas_kWh/1000),0,TER_ander_gas_kWh/1000)*0.902</f>
        <v>3377.5009450647399</v>
      </c>
      <c r="E10" s="33">
        <f>$C$30*'E Balans VL '!I14/100/3.6*1000000</f>
        <v>9.241984031627446</v>
      </c>
      <c r="F10" s="33">
        <f>$C$30*('E Balans VL '!L14+'E Balans VL '!N14)/100/3.6*1000000</f>
        <v>602.34958835187274</v>
      </c>
      <c r="G10" s="34"/>
      <c r="H10" s="33"/>
      <c r="I10" s="33"/>
      <c r="J10" s="33">
        <f>$C$30*('E Balans VL '!D14+'E Balans VL '!E14)/100/3.6*1000000</f>
        <v>0</v>
      </c>
      <c r="K10" s="33"/>
      <c r="L10" s="33"/>
      <c r="M10" s="33"/>
      <c r="N10" s="33">
        <f>$C$30*'E Balans VL '!Y14/100/3.6*1000000</f>
        <v>1398.8353414076041</v>
      </c>
      <c r="O10" s="33"/>
      <c r="P10" s="33"/>
      <c r="R10" s="32"/>
    </row>
    <row r="11" spans="1:18">
      <c r="A11" s="32" t="s">
        <v>55</v>
      </c>
      <c r="B11" s="37">
        <f t="shared" si="0"/>
        <v>517.11726338704398</v>
      </c>
      <c r="C11" s="33"/>
      <c r="D11" s="37">
        <f>IF(ISERROR(TER_onderwijs_gas_kWh/1000),0,TER_onderwijs_gas_kWh/1000)*0.902</f>
        <v>1849.1453842336941</v>
      </c>
      <c r="E11" s="33">
        <f>$C$31*'E Balans VL '!I11/100/3.6*1000000</f>
        <v>0.47969426725098951</v>
      </c>
      <c r="F11" s="33">
        <f>$C$31*('E Balans VL '!L11+'E Balans VL '!N11)/100/3.6*1000000</f>
        <v>181.6514095420622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4277.6138007919308</v>
      </c>
      <c r="C12" s="33"/>
      <c r="D12" s="37">
        <f>IF(ISERROR(TER_rest_gas_kWh/1000),0,TER_rest_gas_kWh/1000)*0.902</f>
        <v>16834.716494156753</v>
      </c>
      <c r="E12" s="33">
        <f>$C$32*'E Balans VL '!I8/100/3.6*1000000</f>
        <v>51.885328808480814</v>
      </c>
      <c r="F12" s="33">
        <f>$C$32*('E Balans VL '!L8+'E Balans VL '!N8)/100/3.6*1000000</f>
        <v>846.46000788150843</v>
      </c>
      <c r="G12" s="34"/>
      <c r="H12" s="33"/>
      <c r="I12" s="33"/>
      <c r="J12" s="33">
        <f>$C$32*('E Balans VL '!D8+'E Balans VL '!E8)/100/3.6*1000000</f>
        <v>0</v>
      </c>
      <c r="K12" s="33"/>
      <c r="L12" s="33"/>
      <c r="M12" s="33"/>
      <c r="N12" s="33">
        <f>$C$32*'E Balans VL '!Y8/100/3.6*1000000</f>
        <v>339.55800844436078</v>
      </c>
      <c r="O12" s="33"/>
      <c r="P12" s="33"/>
      <c r="R12" s="32"/>
    </row>
    <row r="13" spans="1:18">
      <c r="A13" s="16" t="s">
        <v>497</v>
      </c>
      <c r="B13" s="249">
        <f ca="1">'lokale energieproductie'!N91+'lokale energieproductie'!N60</f>
        <v>9126</v>
      </c>
      <c r="C13" s="249">
        <f ca="1">'lokale energieproductie'!O91+'lokale energieproductie'!O60</f>
        <v>13037.142857142857</v>
      </c>
      <c r="D13" s="312">
        <f ca="1">('lokale energieproductie'!P60+'lokale energieproductie'!P91)*(-1)</f>
        <v>-26074.285714285717</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55767.265640718921</v>
      </c>
      <c r="C16" s="21">
        <f t="shared" ca="1" si="1"/>
        <v>13037.142857142857</v>
      </c>
      <c r="D16" s="21">
        <f t="shared" ca="1" si="1"/>
        <v>39126.045911693145</v>
      </c>
      <c r="E16" s="21">
        <f t="shared" si="1"/>
        <v>549.64760057268927</v>
      </c>
      <c r="F16" s="21">
        <f t="shared" ca="1" si="1"/>
        <v>8475.4834751212966</v>
      </c>
      <c r="G16" s="21">
        <f t="shared" si="1"/>
        <v>0</v>
      </c>
      <c r="H16" s="21">
        <f t="shared" si="1"/>
        <v>0</v>
      </c>
      <c r="I16" s="21">
        <f t="shared" si="1"/>
        <v>0</v>
      </c>
      <c r="J16" s="21">
        <f t="shared" si="1"/>
        <v>0</v>
      </c>
      <c r="K16" s="21">
        <f t="shared" si="1"/>
        <v>0</v>
      </c>
      <c r="L16" s="21">
        <f t="shared" ca="1" si="1"/>
        <v>0</v>
      </c>
      <c r="M16" s="21">
        <f t="shared" si="1"/>
        <v>0</v>
      </c>
      <c r="N16" s="21">
        <f t="shared" ca="1" si="1"/>
        <v>1819.7328934272055</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0.21303012820121833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11880.10774887375</v>
      </c>
      <c r="C20" s="23">
        <f t="shared" ref="C20:P20" ca="1" si="2">C16*C18</f>
        <v>3098.2386554621853</v>
      </c>
      <c r="D20" s="23">
        <f t="shared" ca="1" si="2"/>
        <v>7903.4612741620158</v>
      </c>
      <c r="E20" s="23">
        <f t="shared" si="2"/>
        <v>124.77000533000047</v>
      </c>
      <c r="F20" s="23">
        <f t="shared" ca="1" si="2"/>
        <v>2262.9540878573862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16989.250111084799</v>
      </c>
      <c r="C26" s="39">
        <f>IF(ISERROR(B26*3.6/1000000/'E Balans VL '!Z12*100),0,B26*3.6/1000000/'E Balans VL '!Z12*100)</f>
        <v>0.36086008773996164</v>
      </c>
      <c r="D26" s="239" t="s">
        <v>692</v>
      </c>
      <c r="F26" s="6"/>
    </row>
    <row r="27" spans="1:18">
      <c r="A27" s="233" t="s">
        <v>53</v>
      </c>
      <c r="B27" s="33">
        <f>IF(ISERROR(TER_horeca_ele_kWh/1000),0,TER_horeca_ele_kWh/1000)</f>
        <v>2684.1747722535597</v>
      </c>
      <c r="C27" s="39">
        <f>IF(ISERROR(B27*3.6/1000000/'E Balans VL '!Z9*100),0,B27*3.6/1000000/'E Balans VL '!Z9*100)</f>
        <v>0.20871093537723687</v>
      </c>
      <c r="D27" s="239" t="s">
        <v>692</v>
      </c>
      <c r="F27" s="6"/>
    </row>
    <row r="28" spans="1:18">
      <c r="A28" s="173" t="s">
        <v>52</v>
      </c>
      <c r="B28" s="33">
        <f>IF(ISERROR(TER_handel_ele_kWh/1000),0,TER_handel_ele_kWh/1000)</f>
        <v>18680.491711900799</v>
      </c>
      <c r="C28" s="39">
        <f>IF(ISERROR(B28*3.6/1000000/'E Balans VL '!Z13*100),0,B28*3.6/1000000/'E Balans VL '!Z13*100)</f>
        <v>0.53447085261698157</v>
      </c>
      <c r="D28" s="239" t="s">
        <v>692</v>
      </c>
      <c r="F28" s="6"/>
    </row>
    <row r="29" spans="1:18">
      <c r="A29" s="233" t="s">
        <v>51</v>
      </c>
      <c r="B29" s="33">
        <f>IF(ISERROR(TER_gezond_ele_kWh/1000),0,TER_gezond_ele_kWh/1000)</f>
        <v>1482.98768795716</v>
      </c>
      <c r="C29" s="39">
        <f>IF(ISERROR(B29*3.6/1000000/'E Balans VL '!Z10*100),0,B29*3.6/1000000/'E Balans VL '!Z10*100)</f>
        <v>0.16168011848828776</v>
      </c>
      <c r="D29" s="239" t="s">
        <v>692</v>
      </c>
      <c r="F29" s="6"/>
    </row>
    <row r="30" spans="1:18">
      <c r="A30" s="233" t="s">
        <v>50</v>
      </c>
      <c r="B30" s="33">
        <f>IF(ISERROR(TER_ander_ele_kWh/1000),0,TER_ander_ele_kWh/1000)</f>
        <v>2009.63029334363</v>
      </c>
      <c r="C30" s="39">
        <f>IF(ISERROR(B30*3.6/1000000/'E Balans VL '!Z14*100),0,B30*3.6/1000000/'E Balans VL '!Z14*100)</f>
        <v>0.14706018612863334</v>
      </c>
      <c r="D30" s="239" t="s">
        <v>692</v>
      </c>
      <c r="F30" s="6"/>
    </row>
    <row r="31" spans="1:18">
      <c r="A31" s="233" t="s">
        <v>55</v>
      </c>
      <c r="B31" s="33">
        <f>IF(ISERROR(TER_onderwijs_ele_kWh/1000),0,TER_onderwijs_ele_kWh/1000)</f>
        <v>517.11726338704398</v>
      </c>
      <c r="C31" s="39">
        <f>IF(ISERROR(B31*3.6/1000000/'E Balans VL '!Z11*100),0,B31*3.6/1000000/'E Balans VL '!Z11*100)</f>
        <v>0.10386338635197878</v>
      </c>
      <c r="D31" s="239" t="s">
        <v>692</v>
      </c>
    </row>
    <row r="32" spans="1:18">
      <c r="A32" s="233" t="s">
        <v>260</v>
      </c>
      <c r="B32" s="33">
        <f>IF(ISERROR(TER_rest_ele_kWh/1000),0,TER_rest_ele_kWh/1000)</f>
        <v>4277.6138007919308</v>
      </c>
      <c r="C32" s="39">
        <f>IF(ISERROR(B32*3.6/1000000/'E Balans VL '!Z8*100),0,B32*3.6/1000000/'E Balans VL '!Z8*100)</f>
        <v>3.4859956524536759E-2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4</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9937.4216464866586</v>
      </c>
      <c r="C5" s="17">
        <f>IF(ISERROR('Eigen informatie GS &amp; warmtenet'!B59),0,'Eigen informatie GS &amp; warmtenet'!B59)</f>
        <v>0</v>
      </c>
      <c r="D5" s="30">
        <f>SUM(D6:D15)</f>
        <v>12601.898151167974</v>
      </c>
      <c r="E5" s="17">
        <f>SUM(E6:E15)</f>
        <v>1294.9064281037945</v>
      </c>
      <c r="F5" s="17">
        <f>SUM(F6:F15)</f>
        <v>5607.3894115144731</v>
      </c>
      <c r="G5" s="18"/>
      <c r="H5" s="17"/>
      <c r="I5" s="17"/>
      <c r="J5" s="17">
        <f>SUM(J6:J15)</f>
        <v>7.0782927079743283</v>
      </c>
      <c r="K5" s="17"/>
      <c r="L5" s="17"/>
      <c r="M5" s="17"/>
      <c r="N5" s="17">
        <f>SUM(N6:N15)</f>
        <v>5157.6680131999046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437.02803192286797</v>
      </c>
      <c r="C8" s="33"/>
      <c r="D8" s="37">
        <f>IF( ISERROR(IND_metaal_Gas_kWH/1000),0,IND_metaal_Gas_kWH/1000)*0.902</f>
        <v>173.13885204243604</v>
      </c>
      <c r="E8" s="33">
        <f>C30*'E Balans VL '!I18/100/3.6*1000000</f>
        <v>12.553085478814456</v>
      </c>
      <c r="F8" s="33">
        <f>C30*'E Balans VL '!L18/100/3.6*1000000+C30*'E Balans VL '!N18/100/3.6*1000000</f>
        <v>112.08928493123149</v>
      </c>
      <c r="G8" s="34"/>
      <c r="H8" s="33"/>
      <c r="I8" s="33"/>
      <c r="J8" s="40">
        <f>C30*'E Balans VL '!D18/100/3.6*1000000+C30*'E Balans VL '!E18/100/3.6*1000000</f>
        <v>0</v>
      </c>
      <c r="K8" s="33"/>
      <c r="L8" s="33"/>
      <c r="M8" s="33"/>
      <c r="N8" s="33">
        <f>C30*'E Balans VL '!Y18/100/3.6*1000000</f>
        <v>11.866203167309802</v>
      </c>
      <c r="O8" s="33"/>
      <c r="P8" s="33"/>
      <c r="R8" s="32"/>
    </row>
    <row r="9" spans="1:18">
      <c r="A9" s="6" t="s">
        <v>33</v>
      </c>
      <c r="B9" s="37">
        <f t="shared" si="0"/>
        <v>3650.0966511643801</v>
      </c>
      <c r="C9" s="33"/>
      <c r="D9" s="37">
        <f>IF( ISERROR(IND_andere_gas_kWh/1000),0,IND_andere_gas_kWh/1000)*0.902</f>
        <v>5300.4131019438155</v>
      </c>
      <c r="E9" s="33">
        <f>C31*'E Balans VL '!I19/100/3.6*1000000</f>
        <v>987.99141839620449</v>
      </c>
      <c r="F9" s="33">
        <f>C31*'E Balans VL '!L19/100/3.6*1000000+C31*'E Balans VL '!N19/100/3.6*1000000</f>
        <v>2431.3506305873088</v>
      </c>
      <c r="G9" s="34"/>
      <c r="H9" s="33"/>
      <c r="I9" s="33"/>
      <c r="J9" s="40">
        <f>C31*'E Balans VL '!D19/100/3.6*1000000+C31*'E Balans VL '!E19/100/3.6*1000000</f>
        <v>0</v>
      </c>
      <c r="K9" s="33"/>
      <c r="L9" s="33"/>
      <c r="M9" s="33"/>
      <c r="N9" s="33">
        <f>C31*'E Balans VL '!Y19/100/3.6*1000000</f>
        <v>1191.6959233089169</v>
      </c>
      <c r="O9" s="33"/>
      <c r="P9" s="33"/>
      <c r="R9" s="32"/>
    </row>
    <row r="10" spans="1:18">
      <c r="A10" s="6" t="s">
        <v>41</v>
      </c>
      <c r="B10" s="37">
        <f t="shared" si="0"/>
        <v>1547.35942859946</v>
      </c>
      <c r="C10" s="33"/>
      <c r="D10" s="37">
        <f>IF( ISERROR(IND_voed_gas_kWh/1000),0,IND_voed_gas_kWh/1000)*0.902</f>
        <v>1755.096802144182</v>
      </c>
      <c r="E10" s="33">
        <f>C32*'E Balans VL '!I20/100/3.6*1000000</f>
        <v>126.20618996235416</v>
      </c>
      <c r="F10" s="33">
        <f>C32*'E Balans VL '!L20/100/3.6*1000000+C32*'E Balans VL '!N20/100/3.6*1000000</f>
        <v>2307.2532967902007</v>
      </c>
      <c r="G10" s="34"/>
      <c r="H10" s="33"/>
      <c r="I10" s="33"/>
      <c r="J10" s="40">
        <f>C32*'E Balans VL '!D20/100/3.6*1000000+C32*'E Balans VL '!E20/100/3.6*1000000</f>
        <v>2.0469686997991902E-2</v>
      </c>
      <c r="K10" s="33"/>
      <c r="L10" s="33"/>
      <c r="M10" s="33"/>
      <c r="N10" s="33">
        <f>C32*'E Balans VL '!Y20/100/3.6*1000000</f>
        <v>454.55959969573325</v>
      </c>
      <c r="O10" s="33"/>
      <c r="P10" s="33"/>
      <c r="R10" s="32"/>
    </row>
    <row r="11" spans="1:18">
      <c r="A11" s="6" t="s">
        <v>40</v>
      </c>
      <c r="B11" s="37">
        <f t="shared" si="0"/>
        <v>165.1732295509</v>
      </c>
      <c r="C11" s="33"/>
      <c r="D11" s="37">
        <f>IF( ISERROR(IND_textiel_gas_kWh/1000),0,IND_textiel_gas_kWh/1000)*0.902</f>
        <v>0</v>
      </c>
      <c r="E11" s="33">
        <f>C33*'E Balans VL '!I21/100/3.6*1000000</f>
        <v>3.2740713493322929E-2</v>
      </c>
      <c r="F11" s="33">
        <f>C33*'E Balans VL '!L21/100/3.6*1000000+C33*'E Balans VL '!N21/100/3.6*1000000</f>
        <v>6.0835293264972705</v>
      </c>
      <c r="G11" s="34"/>
      <c r="H11" s="33"/>
      <c r="I11" s="33"/>
      <c r="J11" s="40">
        <f>C33*'E Balans VL '!D21/100/3.6*1000000+C33*'E Balans VL '!E21/100/3.6*1000000</f>
        <v>0</v>
      </c>
      <c r="K11" s="33"/>
      <c r="L11" s="33"/>
      <c r="M11" s="33"/>
      <c r="N11" s="33">
        <f>C33*'E Balans VL '!Y21/100/3.6*1000000</f>
        <v>0.76801382077659786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1384.0967854630001</v>
      </c>
      <c r="C13" s="33"/>
      <c r="D13" s="37">
        <f>IF( ISERROR(IND_papier_gas_kWh/1000),0,IND_papier_gas_kWh/1000)*0.902</f>
        <v>112.46201990778849</v>
      </c>
      <c r="E13" s="33">
        <f>C35*'E Balans VL '!I23/100/3.6*1000000</f>
        <v>14.50093534434151</v>
      </c>
      <c r="F13" s="33">
        <f>C35*'E Balans VL '!L23/100/3.6*1000000+C35*'E Balans VL '!N23/100/3.6*1000000</f>
        <v>103.28154745691357</v>
      </c>
      <c r="G13" s="34"/>
      <c r="H13" s="33"/>
      <c r="I13" s="33"/>
      <c r="J13" s="40">
        <f>C35*'E Balans VL '!D23/100/3.6*1000000+C35*'E Balans VL '!E23/100/3.6*1000000</f>
        <v>0</v>
      </c>
      <c r="K13" s="33"/>
      <c r="L13" s="33"/>
      <c r="M13" s="33"/>
      <c r="N13" s="33">
        <f>C35*'E Balans VL '!Y23/100/3.6*1000000</f>
        <v>2958.3624112941939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2753.66751978605</v>
      </c>
      <c r="C15" s="33"/>
      <c r="D15" s="37">
        <f>IF( ISERROR(IND_rest_gas_kWh/1000),0,IND_rest_gas_kWh/1000)*0.902</f>
        <v>5260.7873751297529</v>
      </c>
      <c r="E15" s="33">
        <f>C37*'E Balans VL '!I15/100/3.6*1000000</f>
        <v>153.62205820858674</v>
      </c>
      <c r="F15" s="33">
        <f>C37*'E Balans VL '!L15/100/3.6*1000000+C37*'E Balans VL '!N15/100/3.6*1000000</f>
        <v>647.33112242232153</v>
      </c>
      <c r="G15" s="34"/>
      <c r="H15" s="33"/>
      <c r="I15" s="33"/>
      <c r="J15" s="40">
        <f>C37*'E Balans VL '!D15/100/3.6*1000000+C37*'E Balans VL '!E15/100/3.6*1000000</f>
        <v>7.0578230209763362</v>
      </c>
      <c r="K15" s="33"/>
      <c r="L15" s="33"/>
      <c r="M15" s="33"/>
      <c r="N15" s="33">
        <f>C37*'E Balans VL '!Y15/100/3.6*1000000</f>
        <v>540.41586191297472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9937.4216464866586</v>
      </c>
      <c r="C18" s="21">
        <f>C5+C16</f>
        <v>0</v>
      </c>
      <c r="D18" s="21">
        <f>MAX((D5+D16),0)</f>
        <v>12601.898151167974</v>
      </c>
      <c r="E18" s="21">
        <f>MAX((E5+E16),0)</f>
        <v>1294.9064281037945</v>
      </c>
      <c r="F18" s="21">
        <f>MAX((F5+F16),0)</f>
        <v>5607.3894115144731</v>
      </c>
      <c r="G18" s="21"/>
      <c r="H18" s="21"/>
      <c r="I18" s="21"/>
      <c r="J18" s="21">
        <f>MAX((J5+J16),0)</f>
        <v>7.0782927079743283</v>
      </c>
      <c r="K18" s="21"/>
      <c r="L18" s="21">
        <f>MAX((L5+L16),0)</f>
        <v>0</v>
      </c>
      <c r="M18" s="21"/>
      <c r="N18" s="21">
        <f>MAX((N5+N16),0)</f>
        <v>5157.6680131999046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0.21303012820121833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2116.9702073406152</v>
      </c>
      <c r="C22" s="23">
        <f ca="1">C18*C20</f>
        <v>0</v>
      </c>
      <c r="D22" s="23">
        <f>D18*D20</f>
        <v>2545.5834265359308</v>
      </c>
      <c r="E22" s="23">
        <f>E18*E20</f>
        <v>293.94375917956137</v>
      </c>
      <c r="F22" s="23">
        <f>F18*F20</f>
        <v>1497.1729728743644</v>
      </c>
      <c r="G22" s="23"/>
      <c r="H22" s="23"/>
      <c r="I22" s="23"/>
      <c r="J22" s="23">
        <f>J18*J20</f>
        <v>2.5057156186229119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437.02803192286797</v>
      </c>
      <c r="C30" s="39">
        <f>IF(ISERROR(B30*3.6/1000000/'E Balans VL '!Z18*100),0,B30*3.6/1000000/'E Balans VL '!Z18*100)</f>
        <v>4.3002442727485525E-2</v>
      </c>
      <c r="D30" s="239" t="s">
        <v>692</v>
      </c>
    </row>
    <row r="31" spans="1:18">
      <c r="A31" s="6" t="s">
        <v>33</v>
      </c>
      <c r="B31" s="37">
        <f>IF( ISERROR(IND_ander_ele_kWh/1000),0,IND_ander_ele_kWh/1000)</f>
        <v>3650.0966511643801</v>
      </c>
      <c r="C31" s="39">
        <f>IF(ISERROR(B31*3.6/1000000/'E Balans VL '!Z19*100),0,B31*3.6/1000000/'E Balans VL '!Z19*100)</f>
        <v>0.1589587975047918</v>
      </c>
      <c r="D31" s="239" t="s">
        <v>692</v>
      </c>
    </row>
    <row r="32" spans="1:18">
      <c r="A32" s="173" t="s">
        <v>41</v>
      </c>
      <c r="B32" s="37">
        <f>IF( ISERROR(IND_voed_ele_kWh/1000),0,IND_voed_ele_kWh/1000)</f>
        <v>1547.35942859946</v>
      </c>
      <c r="C32" s="39">
        <f>IF(ISERROR(B32*3.6/1000000/'E Balans VL '!Z20*100),0,B32*3.6/1000000/'E Balans VL '!Z20*100)</f>
        <v>0.29358913622616706</v>
      </c>
      <c r="D32" s="239" t="s">
        <v>692</v>
      </c>
    </row>
    <row r="33" spans="1:5">
      <c r="A33" s="173" t="s">
        <v>40</v>
      </c>
      <c r="B33" s="37">
        <f>IF( ISERROR(IND_textiel_ele_kWh/1000),0,IND_textiel_ele_kWh/1000)</f>
        <v>165.1732295509</v>
      </c>
      <c r="C33" s="39">
        <f>IF(ISERROR(B33*3.6/1000000/'E Balans VL '!Z21*100),0,B33*3.6/1000000/'E Balans VL '!Z21*100)</f>
        <v>9.4305537717298323E-3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1384.0967854630001</v>
      </c>
      <c r="C35" s="39">
        <f>IF(ISERROR(B35*3.6/1000000/'E Balans VL '!Z22*100),0,B35*3.6/1000000/'E Balans VL '!Z22*100)</f>
        <v>0.1946179067028011</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2753.66751978605</v>
      </c>
      <c r="C37" s="39">
        <f>IF(ISERROR(B37*3.6/1000000/'E Balans VL '!Z15*100),0,B37*3.6/1000000/'E Balans VL '!Z15*100)</f>
        <v>2.1220390440833965E-2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1714.7214649093082</v>
      </c>
      <c r="C5" s="17">
        <f>'Eigen informatie GS &amp; warmtenet'!B60</f>
        <v>0</v>
      </c>
      <c r="D5" s="30">
        <f>IF(ISERROR(SUM(LB_lb_gas_kWh,LB_rest_gas_kWh)/1000),0,SUM(LB_lb_gas_kWh,LB_rest_gas_kWh)/1000)*0.902</f>
        <v>66920.6621567041</v>
      </c>
      <c r="E5" s="17">
        <f>B17*'E Balans VL '!I25/3.6*1000000/100</f>
        <v>21.60769946824135</v>
      </c>
      <c r="F5" s="17">
        <f>B17*('E Balans VL '!L25/3.6*1000000+'E Balans VL '!N25/3.6*1000000)/100</f>
        <v>5916.2186173315395</v>
      </c>
      <c r="G5" s="18"/>
      <c r="H5" s="17"/>
      <c r="I5" s="17"/>
      <c r="J5" s="17">
        <f>('E Balans VL '!D25+'E Balans VL '!E25)/3.6*1000000*landbouw!B17/100</f>
        <v>257.87461605669296</v>
      </c>
      <c r="K5" s="17"/>
      <c r="L5" s="17">
        <f>L6*(-1)</f>
        <v>0</v>
      </c>
      <c r="M5" s="17"/>
      <c r="N5" s="17">
        <f>N6*(-1)</f>
        <v>0</v>
      </c>
      <c r="O5" s="17"/>
      <c r="P5" s="17"/>
      <c r="R5" s="32"/>
    </row>
    <row r="6" spans="1:18">
      <c r="A6" s="16" t="s">
        <v>497</v>
      </c>
      <c r="B6" s="17" t="s">
        <v>211</v>
      </c>
      <c r="C6" s="17">
        <f>'lokale energieproductie'!O92+'lokale energieproductie'!O61</f>
        <v>54527.142857142855</v>
      </c>
      <c r="D6" s="312">
        <f>('lokale energieproductie'!P61+'lokale energieproductie'!P92)*(-1)</f>
        <v>-109054.28571428572</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1714.7214649093082</v>
      </c>
      <c r="C8" s="21">
        <f>C5+C6</f>
        <v>54527.142857142855</v>
      </c>
      <c r="D8" s="21">
        <f>MAX((D5+D6),0)</f>
        <v>0</v>
      </c>
      <c r="E8" s="21">
        <f>MAX((E5+E6),0)</f>
        <v>21.60769946824135</v>
      </c>
      <c r="F8" s="21">
        <f>MAX((F5+F6),0)</f>
        <v>5916.2186173315395</v>
      </c>
      <c r="G8" s="21"/>
      <c r="H8" s="21"/>
      <c r="I8" s="21"/>
      <c r="J8" s="21">
        <f>MAX((J5+J6),0)</f>
        <v>257.87461605669296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0.21303012820121833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365.28733349901086</v>
      </c>
      <c r="C12" s="23">
        <f ca="1">C8*C10</f>
        <v>12958.215126050422</v>
      </c>
      <c r="D12" s="23">
        <f>D8*D10</f>
        <v>0</v>
      </c>
      <c r="E12" s="23">
        <f>E8*E10</f>
        <v>4.9049477792907865</v>
      </c>
      <c r="F12" s="23">
        <f>F8*F10</f>
        <v>1579.6303708275211</v>
      </c>
      <c r="G12" s="23"/>
      <c r="H12" s="23"/>
      <c r="I12" s="23"/>
      <c r="J12" s="23">
        <f>J8*J10</f>
        <v>91.287614084069304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0.23914959947138009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192.62673323171981</v>
      </c>
      <c r="C26" s="249">
        <f>B26*'GWP N2O_CH4'!B5</f>
        <v>4045.1613978661162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39.471367046618575</v>
      </c>
      <c r="C27" s="249">
        <f>B27*'GWP N2O_CH4'!B5</f>
        <v>828.89870797899005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2.4950539686767659</v>
      </c>
      <c r="C28" s="249">
        <f>B28*'GWP N2O_CH4'!B4</f>
        <v>773.4667302897974</v>
      </c>
      <c r="D28" s="50"/>
    </row>
    <row r="29" spans="1:4">
      <c r="A29" s="41" t="s">
        <v>277</v>
      </c>
      <c r="B29" s="249">
        <f>B34*'ha_N2O bodem landbouw'!B4</f>
        <v>5.3907448608890318</v>
      </c>
      <c r="C29" s="249">
        <f>B29*'GWP N2O_CH4'!B4</f>
        <v>1671.1309068756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1.3460151259379347E-3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7.4465354400103759E-5</v>
      </c>
      <c r="C5" s="448" t="s">
        <v>211</v>
      </c>
      <c r="D5" s="433">
        <f>SUM(D6:D11)</f>
        <v>1.1526075078578478E-4</v>
      </c>
      <c r="E5" s="433">
        <f>SUM(E6:E11)</f>
        <v>4.0425699043245434E-3</v>
      </c>
      <c r="F5" s="446" t="s">
        <v>211</v>
      </c>
      <c r="G5" s="433">
        <f>SUM(G6:G11)</f>
        <v>1.1710430286732461</v>
      </c>
      <c r="H5" s="433">
        <f>SUM(H6:H11)</f>
        <v>0.17742969743011364</v>
      </c>
      <c r="I5" s="448" t="s">
        <v>211</v>
      </c>
      <c r="J5" s="448" t="s">
        <v>211</v>
      </c>
      <c r="K5" s="448" t="s">
        <v>211</v>
      </c>
      <c r="L5" s="448" t="s">
        <v>211</v>
      </c>
      <c r="M5" s="433">
        <f>SUM(M6:M11)</f>
        <v>6.0941731031797231E-2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2.7756452975068455E-5</v>
      </c>
      <c r="C6" s="887"/>
      <c r="D6" s="887">
        <f>vkm_2011_GW_PW*SUMIFS(TableVerdeelsleutelVkm[CNG],TableVerdeelsleutelVkm[Voertuigtype],"Lichte voertuigen")*SUMIFS(TableECFTransport[EnergieConsumptieFactor (PJ per km)],TableECFTransport[Index],CONCATENATE($A6,"_CNG_CNG"))</f>
        <v>3.9308566036824641E-5</v>
      </c>
      <c r="E6" s="887">
        <f>vkm_2011_GW_PW*SUMIFS(TableVerdeelsleutelVkm[LPG],TableVerdeelsleutelVkm[Voertuigtype],"Lichte voertuigen")*SUMIFS(TableECFTransport[EnergieConsumptieFactor (PJ per km)],TableECFTransport[Index],CONCATENATE($A6,"_LPG_LPG"))</f>
        <v>1.2345526520008915E-3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0.22188291613371655</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5.9455312781660594E-2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1.2728640429041482E-2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0.22962326443732645</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8.1582765404736546E-5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1.0362171216548649E-2</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6.5916072499756482E-6</v>
      </c>
      <c r="C8" s="887"/>
      <c r="D8" s="436">
        <f>vkm_2011_NGW_PW*SUMIFS(TableVerdeelsleutelVkm[CNG],TableVerdeelsleutelVkm[Voertuigtype],"Lichte voertuigen")*SUMIFS(TableECFTransport[EnergieConsumptieFactor (PJ per km)],TableECFTransport[Index],CONCATENATE($A8,"_CNG_CNG"))</f>
        <v>1.6630470680545058E-5</v>
      </c>
      <c r="E8" s="436">
        <f>vkm_2011_NGW_PW*SUMIFS(TableVerdeelsleutelVkm[LPG],TableVerdeelsleutelVkm[Voertuigtype],"Lichte voertuigen")*SUMIFS(TableECFTransport[EnergieConsumptieFactor (PJ per km)],TableECFTransport[Index],CONCATENATE($A8,"_LPG_LPG"))</f>
        <v>4.8108212334986794E-4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8.1548084959515571E-2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2.4271188868348535E-2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4.7887995716082111E-3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4.634709865744998E-2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1.5582236434567638E-5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2.0914574328644454E-3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4.0117294175059653E-5</v>
      </c>
      <c r="C10" s="887"/>
      <c r="D10" s="436">
        <f>vkm_2011_SW_PW*SUMIFS(TableVerdeelsleutelVkm[CNG],TableVerdeelsleutelVkm[Voertuigtype],"Lichte voertuigen")*SUMIFS(TableECFTransport[EnergieConsumptieFactor (PJ per km)],TableECFTransport[Index],CONCATENATE($A10,"_CNG_CNG"))</f>
        <v>5.9321714068415078E-5</v>
      </c>
      <c r="E10" s="436">
        <f>vkm_2011_SW_PW*SUMIFS(TableVerdeelsleutelVkm[LPG],TableVerdeelsleutelVkm[Voertuigtype],"Lichte voertuigen")*SUMIFS(TableECFTransport[EnergieConsumptieFactor (PJ per km)],TableECFTransport[Index],CONCATENATE($A10,"_LPG_LPG"))</f>
        <v>2.3269351289737844E-3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0.37875663129660392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9.3524465167680607E-2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2.1363563352471256E-2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0.21288503318863367</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8.156561058461608E-5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9.607099029263183E-3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20.68482066669549</v>
      </c>
      <c r="C14" s="21"/>
      <c r="D14" s="21">
        <f t="shared" ref="D14:M14" si="0">((D5)*10^9/3600)+D12</f>
        <v>32.016875218273547</v>
      </c>
      <c r="E14" s="21">
        <f t="shared" si="0"/>
        <v>1122.9360845345952</v>
      </c>
      <c r="F14" s="21"/>
      <c r="G14" s="21">
        <f t="shared" si="0"/>
        <v>325289.73018701281</v>
      </c>
      <c r="H14" s="21">
        <f t="shared" si="0"/>
        <v>49286.027063920454</v>
      </c>
      <c r="I14" s="21"/>
      <c r="J14" s="21"/>
      <c r="K14" s="21"/>
      <c r="L14" s="21"/>
      <c r="M14" s="21">
        <f t="shared" si="0"/>
        <v>16928.258619943674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0.21303012820121833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4.4064899984453509</v>
      </c>
      <c r="C18" s="23"/>
      <c r="D18" s="23">
        <f t="shared" ref="D18:M18" si="1">D14*D16</f>
        <v>6.4674087940912566</v>
      </c>
      <c r="E18" s="23">
        <f t="shared" si="1"/>
        <v>254.90649118935312</v>
      </c>
      <c r="F18" s="23"/>
      <c r="G18" s="23">
        <f t="shared" si="1"/>
        <v>86852.357959932429</v>
      </c>
      <c r="H18" s="23">
        <f t="shared" si="1"/>
        <v>12272.220738916192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7.2336355837918694E-3</v>
      </c>
      <c r="H50" s="323">
        <f t="shared" si="2"/>
        <v>0</v>
      </c>
      <c r="I50" s="323">
        <f t="shared" si="2"/>
        <v>0</v>
      </c>
      <c r="J50" s="323">
        <f t="shared" si="2"/>
        <v>0</v>
      </c>
      <c r="K50" s="323">
        <f t="shared" si="2"/>
        <v>0</v>
      </c>
      <c r="L50" s="323">
        <f t="shared" si="2"/>
        <v>0</v>
      </c>
      <c r="M50" s="323">
        <f t="shared" si="2"/>
        <v>3.2169746727897411E-4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7.2336355837918694E-3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3.2169746727897411E-4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2009.3432177199638</v>
      </c>
      <c r="H54" s="21">
        <f t="shared" si="3"/>
        <v>0</v>
      </c>
      <c r="I54" s="21">
        <f t="shared" si="3"/>
        <v>0</v>
      </c>
      <c r="J54" s="21">
        <f t="shared" si="3"/>
        <v>0</v>
      </c>
      <c r="K54" s="21">
        <f t="shared" si="3"/>
        <v>0</v>
      </c>
      <c r="L54" s="21">
        <f t="shared" si="3"/>
        <v>0</v>
      </c>
      <c r="M54" s="21">
        <f t="shared" si="3"/>
        <v>89.360407577492808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0.21303012820121833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536.49463913123043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57129.99264071892</v>
      </c>
      <c r="D10" s="690">
        <f ca="1">tertiair!C16</f>
        <v>13037.142857142857</v>
      </c>
      <c r="E10" s="690">
        <f ca="1">tertiair!D16</f>
        <v>39126.045911693145</v>
      </c>
      <c r="F10" s="690">
        <f>tertiair!E16</f>
        <v>549.64760057268927</v>
      </c>
      <c r="G10" s="690">
        <f ca="1">tertiair!F16</f>
        <v>8475.4834751212966</v>
      </c>
      <c r="H10" s="690">
        <f>tertiair!G16</f>
        <v>0</v>
      </c>
      <c r="I10" s="690">
        <f>tertiair!H16</f>
        <v>0</v>
      </c>
      <c r="J10" s="690">
        <f>tertiair!I16</f>
        <v>0</v>
      </c>
      <c r="K10" s="690">
        <f>tertiair!J16</f>
        <v>0</v>
      </c>
      <c r="L10" s="690">
        <f>tertiair!K16</f>
        <v>0</v>
      </c>
      <c r="M10" s="690">
        <f ca="1">tertiair!L16</f>
        <v>0</v>
      </c>
      <c r="N10" s="690">
        <f>tertiair!M16</f>
        <v>0</v>
      </c>
      <c r="O10" s="690">
        <f ca="1">tertiair!N16</f>
        <v>1819.7328934272055</v>
      </c>
      <c r="P10" s="690">
        <f>tertiair!O16</f>
        <v>0</v>
      </c>
      <c r="Q10" s="691">
        <f>tertiair!P16</f>
        <v>76.266666666666666</v>
      </c>
      <c r="R10" s="693">
        <f ca="1">SUM(C10:Q10)</f>
        <v>120214.31204534277</v>
      </c>
      <c r="S10" s="67"/>
    </row>
    <row r="11" spans="1:19" s="458" customFormat="1">
      <c r="A11" s="805" t="s">
        <v>225</v>
      </c>
      <c r="B11" s="810"/>
      <c r="C11" s="690">
        <f>huishoudens!B8</f>
        <v>38291.824704153594</v>
      </c>
      <c r="D11" s="690">
        <f>huishoudens!C8</f>
        <v>0</v>
      </c>
      <c r="E11" s="690">
        <f>huishoudens!D8</f>
        <v>118559.64422228627</v>
      </c>
      <c r="F11" s="690">
        <f>huishoudens!E8</f>
        <v>1143.2953149692783</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10715.3277544803</v>
      </c>
      <c r="P11" s="690">
        <f>huishoudens!O8</f>
        <v>184.47333333333336</v>
      </c>
      <c r="Q11" s="691">
        <f>huishoudens!P8</f>
        <v>286</v>
      </c>
      <c r="R11" s="693">
        <f>SUM(C11:Q11)</f>
        <v>169180.56532922279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9937.4216464866586</v>
      </c>
      <c r="D13" s="690">
        <f>industrie!C18</f>
        <v>0</v>
      </c>
      <c r="E13" s="690">
        <f>industrie!D18</f>
        <v>12601.898151167974</v>
      </c>
      <c r="F13" s="690">
        <f>industrie!E18</f>
        <v>1294.9064281037945</v>
      </c>
      <c r="G13" s="690">
        <f>industrie!F18</f>
        <v>5607.3894115144731</v>
      </c>
      <c r="H13" s="690">
        <f>industrie!G18</f>
        <v>0</v>
      </c>
      <c r="I13" s="690">
        <f>industrie!H18</f>
        <v>0</v>
      </c>
      <c r="J13" s="690">
        <f>industrie!I18</f>
        <v>0</v>
      </c>
      <c r="K13" s="690">
        <f>industrie!J18</f>
        <v>7.0782927079743283</v>
      </c>
      <c r="L13" s="690">
        <f>industrie!K18</f>
        <v>0</v>
      </c>
      <c r="M13" s="690">
        <f>industrie!L18</f>
        <v>0</v>
      </c>
      <c r="N13" s="690">
        <f>industrie!M18</f>
        <v>0</v>
      </c>
      <c r="O13" s="690">
        <f>industrie!N18</f>
        <v>5157.6680131999046</v>
      </c>
      <c r="P13" s="690">
        <f>industrie!O18</f>
        <v>0</v>
      </c>
      <c r="Q13" s="691">
        <f>industrie!P18</f>
        <v>0</v>
      </c>
      <c r="R13" s="693">
        <f>SUM(C13:Q13)</f>
        <v>34606.361943180775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105359.23899135918</v>
      </c>
      <c r="D16" s="725">
        <f t="shared" ref="D16:R16" ca="1" si="0">SUM(D9:D15)</f>
        <v>13037.142857142857</v>
      </c>
      <c r="E16" s="725">
        <f t="shared" ca="1" si="0"/>
        <v>170287.58828514739</v>
      </c>
      <c r="F16" s="725">
        <f t="shared" si="0"/>
        <v>2987.849343645762</v>
      </c>
      <c r="G16" s="725">
        <f t="shared" ca="1" si="0"/>
        <v>14082.872886635771</v>
      </c>
      <c r="H16" s="725">
        <f t="shared" si="0"/>
        <v>0</v>
      </c>
      <c r="I16" s="725">
        <f t="shared" si="0"/>
        <v>0</v>
      </c>
      <c r="J16" s="725">
        <f t="shared" si="0"/>
        <v>0</v>
      </c>
      <c r="K16" s="725">
        <f t="shared" si="0"/>
        <v>7.0782927079743283</v>
      </c>
      <c r="L16" s="725">
        <f t="shared" si="0"/>
        <v>0</v>
      </c>
      <c r="M16" s="725">
        <f t="shared" ca="1" si="0"/>
        <v>0</v>
      </c>
      <c r="N16" s="725">
        <f t="shared" si="0"/>
        <v>0</v>
      </c>
      <c r="O16" s="725">
        <f t="shared" ca="1" si="0"/>
        <v>17692.728661107412</v>
      </c>
      <c r="P16" s="725">
        <f t="shared" si="0"/>
        <v>184.47333333333336</v>
      </c>
      <c r="Q16" s="725">
        <f t="shared" si="0"/>
        <v>362.26666666666665</v>
      </c>
      <c r="R16" s="725">
        <f t="shared" ca="1" si="0"/>
        <v>324001.23931774637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2009.3432177199638</v>
      </c>
      <c r="I19" s="690">
        <f>transport!H54</f>
        <v>0</v>
      </c>
      <c r="J19" s="690">
        <f>transport!I54</f>
        <v>0</v>
      </c>
      <c r="K19" s="690">
        <f>transport!J54</f>
        <v>0</v>
      </c>
      <c r="L19" s="690">
        <f>transport!K54</f>
        <v>0</v>
      </c>
      <c r="M19" s="690">
        <f>transport!L54</f>
        <v>0</v>
      </c>
      <c r="N19" s="690">
        <f>transport!M54</f>
        <v>89.360407577492808</v>
      </c>
      <c r="O19" s="690">
        <f>transport!N54</f>
        <v>0</v>
      </c>
      <c r="P19" s="690">
        <f>transport!O54</f>
        <v>0</v>
      </c>
      <c r="Q19" s="691">
        <f>transport!P54</f>
        <v>0</v>
      </c>
      <c r="R19" s="693">
        <f>SUM(C19:Q19)</f>
        <v>2098.7036252974567</v>
      </c>
      <c r="S19" s="67"/>
    </row>
    <row r="20" spans="1:19" s="458" customFormat="1">
      <c r="A20" s="805" t="s">
        <v>307</v>
      </c>
      <c r="B20" s="810"/>
      <c r="C20" s="690">
        <f>transport!B14</f>
        <v>20.68482066669549</v>
      </c>
      <c r="D20" s="690">
        <f>transport!C14</f>
        <v>0</v>
      </c>
      <c r="E20" s="690">
        <f>transport!D14</f>
        <v>32.016875218273547</v>
      </c>
      <c r="F20" s="690">
        <f>transport!E14</f>
        <v>1122.9360845345952</v>
      </c>
      <c r="G20" s="690">
        <f>transport!F14</f>
        <v>0</v>
      </c>
      <c r="H20" s="690">
        <f>transport!G14</f>
        <v>325289.73018701281</v>
      </c>
      <c r="I20" s="690">
        <f>transport!H14</f>
        <v>49286.027063920454</v>
      </c>
      <c r="J20" s="690">
        <f>transport!I14</f>
        <v>0</v>
      </c>
      <c r="K20" s="690">
        <f>transport!J14</f>
        <v>0</v>
      </c>
      <c r="L20" s="690">
        <f>transport!K14</f>
        <v>0</v>
      </c>
      <c r="M20" s="690">
        <f>transport!L14</f>
        <v>0</v>
      </c>
      <c r="N20" s="690">
        <f>transport!M14</f>
        <v>16928.258619943674</v>
      </c>
      <c r="O20" s="690">
        <f>transport!N14</f>
        <v>0</v>
      </c>
      <c r="P20" s="690">
        <f>transport!O14</f>
        <v>0</v>
      </c>
      <c r="Q20" s="691">
        <f>transport!P14</f>
        <v>0</v>
      </c>
      <c r="R20" s="693">
        <f>SUM(C20:Q20)</f>
        <v>392679.65365129651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20.68482066669549</v>
      </c>
      <c r="D22" s="808">
        <f t="shared" ref="D22:R22" si="1">SUM(D18:D21)</f>
        <v>0</v>
      </c>
      <c r="E22" s="808">
        <f t="shared" si="1"/>
        <v>32.016875218273547</v>
      </c>
      <c r="F22" s="808">
        <f t="shared" si="1"/>
        <v>1122.9360845345952</v>
      </c>
      <c r="G22" s="808">
        <f t="shared" si="1"/>
        <v>0</v>
      </c>
      <c r="H22" s="808">
        <f t="shared" si="1"/>
        <v>327299.0734047328</v>
      </c>
      <c r="I22" s="808">
        <f t="shared" si="1"/>
        <v>49286.027063920454</v>
      </c>
      <c r="J22" s="808">
        <f t="shared" si="1"/>
        <v>0</v>
      </c>
      <c r="K22" s="808">
        <f t="shared" si="1"/>
        <v>0</v>
      </c>
      <c r="L22" s="808">
        <f t="shared" si="1"/>
        <v>0</v>
      </c>
      <c r="M22" s="808">
        <f t="shared" si="1"/>
        <v>0</v>
      </c>
      <c r="N22" s="808">
        <f t="shared" si="1"/>
        <v>17017.619027521167</v>
      </c>
      <c r="O22" s="808">
        <f t="shared" si="1"/>
        <v>0</v>
      </c>
      <c r="P22" s="808">
        <f t="shared" si="1"/>
        <v>0</v>
      </c>
      <c r="Q22" s="808">
        <f t="shared" si="1"/>
        <v>0</v>
      </c>
      <c r="R22" s="808">
        <f t="shared" si="1"/>
        <v>394778.35727659398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1714.7214649093082</v>
      </c>
      <c r="D24" s="690">
        <f>+landbouw!C8</f>
        <v>54527.142857142855</v>
      </c>
      <c r="E24" s="690">
        <f>+landbouw!D8</f>
        <v>0</v>
      </c>
      <c r="F24" s="690">
        <f>+landbouw!E8</f>
        <v>21.60769946824135</v>
      </c>
      <c r="G24" s="690">
        <f>+landbouw!F8</f>
        <v>5916.2186173315395</v>
      </c>
      <c r="H24" s="690">
        <f>+landbouw!G8</f>
        <v>0</v>
      </c>
      <c r="I24" s="690">
        <f>+landbouw!H8</f>
        <v>0</v>
      </c>
      <c r="J24" s="690">
        <f>+landbouw!I8</f>
        <v>0</v>
      </c>
      <c r="K24" s="690">
        <f>+landbouw!J8</f>
        <v>257.87461605669296</v>
      </c>
      <c r="L24" s="690">
        <f>+landbouw!K8</f>
        <v>0</v>
      </c>
      <c r="M24" s="690">
        <f>+landbouw!L8</f>
        <v>0</v>
      </c>
      <c r="N24" s="690">
        <f>+landbouw!M8</f>
        <v>0</v>
      </c>
      <c r="O24" s="690">
        <f>+landbouw!N8</f>
        <v>0</v>
      </c>
      <c r="P24" s="690">
        <f>+landbouw!O8</f>
        <v>0</v>
      </c>
      <c r="Q24" s="691">
        <f>+landbouw!P8</f>
        <v>0</v>
      </c>
      <c r="R24" s="693">
        <f>SUM(C24:Q24)</f>
        <v>62437.565254908644</v>
      </c>
      <c r="S24" s="67"/>
    </row>
    <row r="25" spans="1:19" s="458" customFormat="1" ht="15" thickBot="1">
      <c r="A25" s="827" t="s">
        <v>872</v>
      </c>
      <c r="B25" s="1004"/>
      <c r="C25" s="1005">
        <f>IF(Onbekend_ele_kWh="---",0,Onbekend_ele_kWh)/1000+IF(REST_rest_ele_kWh="---",0,REST_rest_ele_kWh)/1000</f>
        <v>1470.2339063715099</v>
      </c>
      <c r="D25" s="1005"/>
      <c r="E25" s="1005">
        <f>IF(onbekend_gas_kWh="---",0,onbekend_gas_kWh)/1000+IF(REST_rest_gas_kWh="---",0,REST_rest_gas_kWh)/1000</f>
        <v>5710.9264551742899</v>
      </c>
      <c r="F25" s="1005"/>
      <c r="G25" s="1005"/>
      <c r="H25" s="1005"/>
      <c r="I25" s="1005"/>
      <c r="J25" s="1005"/>
      <c r="K25" s="1005"/>
      <c r="L25" s="1005"/>
      <c r="M25" s="1005"/>
      <c r="N25" s="1005"/>
      <c r="O25" s="1005"/>
      <c r="P25" s="1005"/>
      <c r="Q25" s="1006"/>
      <c r="R25" s="693">
        <f>SUM(C25:Q25)</f>
        <v>7181.1603615457998</v>
      </c>
      <c r="S25" s="67"/>
    </row>
    <row r="26" spans="1:19" s="458" customFormat="1" ht="15.75" thickBot="1">
      <c r="A26" s="698" t="s">
        <v>873</v>
      </c>
      <c r="B26" s="813"/>
      <c r="C26" s="808">
        <f>SUM(C24:C25)</f>
        <v>3184.9553712808183</v>
      </c>
      <c r="D26" s="808">
        <f t="shared" ref="D26:R26" si="2">SUM(D24:D25)</f>
        <v>54527.142857142855</v>
      </c>
      <c r="E26" s="808">
        <f t="shared" si="2"/>
        <v>5710.9264551742899</v>
      </c>
      <c r="F26" s="808">
        <f t="shared" si="2"/>
        <v>21.60769946824135</v>
      </c>
      <c r="G26" s="808">
        <f t="shared" si="2"/>
        <v>5916.2186173315395</v>
      </c>
      <c r="H26" s="808">
        <f t="shared" si="2"/>
        <v>0</v>
      </c>
      <c r="I26" s="808">
        <f t="shared" si="2"/>
        <v>0</v>
      </c>
      <c r="J26" s="808">
        <f t="shared" si="2"/>
        <v>0</v>
      </c>
      <c r="K26" s="808">
        <f t="shared" si="2"/>
        <v>257.87461605669296</v>
      </c>
      <c r="L26" s="808">
        <f t="shared" si="2"/>
        <v>0</v>
      </c>
      <c r="M26" s="808">
        <f t="shared" si="2"/>
        <v>0</v>
      </c>
      <c r="N26" s="808">
        <f t="shared" si="2"/>
        <v>0</v>
      </c>
      <c r="O26" s="808">
        <f t="shared" si="2"/>
        <v>0</v>
      </c>
      <c r="P26" s="808">
        <f t="shared" si="2"/>
        <v>0</v>
      </c>
      <c r="Q26" s="808">
        <f t="shared" si="2"/>
        <v>0</v>
      </c>
      <c r="R26" s="808">
        <f t="shared" si="2"/>
        <v>69618.725616454438</v>
      </c>
      <c r="S26" s="67"/>
    </row>
    <row r="27" spans="1:19" s="458" customFormat="1" ht="17.25" thickTop="1" thickBot="1">
      <c r="A27" s="699" t="s">
        <v>116</v>
      </c>
      <c r="B27" s="800"/>
      <c r="C27" s="700">
        <f ca="1">C22+C16+C26</f>
        <v>108564.87918330668</v>
      </c>
      <c r="D27" s="700">
        <f t="shared" ref="D27:R27" ca="1" si="3">D22+D16+D26</f>
        <v>67564.28571428571</v>
      </c>
      <c r="E27" s="700">
        <f t="shared" ca="1" si="3"/>
        <v>176030.53161553995</v>
      </c>
      <c r="F27" s="700">
        <f t="shared" si="3"/>
        <v>4132.3931276485991</v>
      </c>
      <c r="G27" s="700">
        <f t="shared" ca="1" si="3"/>
        <v>19999.091503967309</v>
      </c>
      <c r="H27" s="700">
        <f t="shared" si="3"/>
        <v>327299.0734047328</v>
      </c>
      <c r="I27" s="700">
        <f t="shared" si="3"/>
        <v>49286.027063920454</v>
      </c>
      <c r="J27" s="700">
        <f t="shared" si="3"/>
        <v>0</v>
      </c>
      <c r="K27" s="700">
        <f t="shared" si="3"/>
        <v>264.95290876466731</v>
      </c>
      <c r="L27" s="700">
        <f t="shared" si="3"/>
        <v>0</v>
      </c>
      <c r="M27" s="700">
        <f t="shared" ca="1" si="3"/>
        <v>0</v>
      </c>
      <c r="N27" s="700">
        <f t="shared" si="3"/>
        <v>17017.619027521167</v>
      </c>
      <c r="O27" s="700">
        <f t="shared" ca="1" si="3"/>
        <v>17692.728661107412</v>
      </c>
      <c r="P27" s="700">
        <f t="shared" si="3"/>
        <v>184.47333333333336</v>
      </c>
      <c r="Q27" s="700">
        <f t="shared" si="3"/>
        <v>362.26666666666665</v>
      </c>
      <c r="R27" s="700">
        <f t="shared" ca="1" si="3"/>
        <v>788398.32221079478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12170.409656387012</v>
      </c>
      <c r="D40" s="690">
        <f ca="1">tertiair!C20</f>
        <v>3098.2386554621853</v>
      </c>
      <c r="E40" s="690">
        <f ca="1">tertiair!D20</f>
        <v>7903.4612741620158</v>
      </c>
      <c r="F40" s="690">
        <f>tertiair!E20</f>
        <v>124.77000533000047</v>
      </c>
      <c r="G40" s="690">
        <f ca="1">tertiair!F20</f>
        <v>2262.9540878573862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25559.833679198597</v>
      </c>
    </row>
    <row r="41" spans="1:18">
      <c r="A41" s="818" t="s">
        <v>225</v>
      </c>
      <c r="B41" s="825"/>
      <c r="C41" s="690">
        <f ca="1">huishoudens!B12</f>
        <v>8157.312325784419</v>
      </c>
      <c r="D41" s="690">
        <f ca="1">huishoudens!C12</f>
        <v>0</v>
      </c>
      <c r="E41" s="690">
        <f>huishoudens!D12</f>
        <v>23949.048132901829</v>
      </c>
      <c r="F41" s="690">
        <f>huishoudens!E12</f>
        <v>259.52803649802615</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32365.888495184274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2116.9702073406152</v>
      </c>
      <c r="D43" s="690">
        <f ca="1">industrie!C22</f>
        <v>0</v>
      </c>
      <c r="E43" s="690">
        <f>industrie!D22</f>
        <v>2545.5834265359308</v>
      </c>
      <c r="F43" s="690">
        <f>industrie!E22</f>
        <v>293.94375917956137</v>
      </c>
      <c r="G43" s="690">
        <f>industrie!F22</f>
        <v>1497.1729728743644</v>
      </c>
      <c r="H43" s="690">
        <f>industrie!G22</f>
        <v>0</v>
      </c>
      <c r="I43" s="690">
        <f>industrie!H22</f>
        <v>0</v>
      </c>
      <c r="J43" s="690">
        <f>industrie!I22</f>
        <v>0</v>
      </c>
      <c r="K43" s="690">
        <f>industrie!J22</f>
        <v>2.5057156186229119</v>
      </c>
      <c r="L43" s="690">
        <f>industrie!K22</f>
        <v>0</v>
      </c>
      <c r="M43" s="690">
        <f>industrie!L22</f>
        <v>0</v>
      </c>
      <c r="N43" s="690">
        <f>industrie!M22</f>
        <v>0</v>
      </c>
      <c r="O43" s="690">
        <f>industrie!N22</f>
        <v>0</v>
      </c>
      <c r="P43" s="690">
        <f>industrie!O22</f>
        <v>0</v>
      </c>
      <c r="Q43" s="767">
        <f>industrie!P22</f>
        <v>0</v>
      </c>
      <c r="R43" s="845">
        <f t="shared" ca="1" si="4"/>
        <v>6456.1760815490943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22444.692189512047</v>
      </c>
      <c r="D46" s="725">
        <f t="shared" ref="D46:Q46" ca="1" si="5">SUM(D39:D45)</f>
        <v>3098.2386554621853</v>
      </c>
      <c r="E46" s="725">
        <f t="shared" ca="1" si="5"/>
        <v>34398.092833599774</v>
      </c>
      <c r="F46" s="725">
        <f t="shared" si="5"/>
        <v>678.24180100758804</v>
      </c>
      <c r="G46" s="725">
        <f t="shared" ca="1" si="5"/>
        <v>3760.1270607317506</v>
      </c>
      <c r="H46" s="725">
        <f t="shared" si="5"/>
        <v>0</v>
      </c>
      <c r="I46" s="725">
        <f t="shared" si="5"/>
        <v>0</v>
      </c>
      <c r="J46" s="725">
        <f t="shared" si="5"/>
        <v>0</v>
      </c>
      <c r="K46" s="725">
        <f t="shared" si="5"/>
        <v>2.5057156186229119</v>
      </c>
      <c r="L46" s="725">
        <f t="shared" si="5"/>
        <v>0</v>
      </c>
      <c r="M46" s="725">
        <f t="shared" ca="1" si="5"/>
        <v>0</v>
      </c>
      <c r="N46" s="725">
        <f t="shared" si="5"/>
        <v>0</v>
      </c>
      <c r="O46" s="725">
        <f t="shared" ca="1" si="5"/>
        <v>0</v>
      </c>
      <c r="P46" s="725">
        <f t="shared" si="5"/>
        <v>0</v>
      </c>
      <c r="Q46" s="725">
        <f t="shared" si="5"/>
        <v>0</v>
      </c>
      <c r="R46" s="725">
        <f ca="1">SUM(R39:R45)</f>
        <v>64381.898255931963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536.49463913123043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536.49463913123043</v>
      </c>
    </row>
    <row r="50" spans="1:18">
      <c r="A50" s="821" t="s">
        <v>307</v>
      </c>
      <c r="B50" s="831"/>
      <c r="C50" s="696">
        <f ca="1">transport!B18</f>
        <v>4.4064899984453509</v>
      </c>
      <c r="D50" s="696">
        <f>transport!C18</f>
        <v>0</v>
      </c>
      <c r="E50" s="696">
        <f>transport!D18</f>
        <v>6.4674087940912566</v>
      </c>
      <c r="F50" s="696">
        <f>transport!E18</f>
        <v>254.90649118935312</v>
      </c>
      <c r="G50" s="696">
        <f>transport!F18</f>
        <v>0</v>
      </c>
      <c r="H50" s="696">
        <f>transport!G18</f>
        <v>86852.357959932429</v>
      </c>
      <c r="I50" s="696">
        <f>transport!H18</f>
        <v>12272.220738916192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99390.359088830504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4.4064899984453509</v>
      </c>
      <c r="D52" s="725">
        <f t="shared" ref="D52:Q52" ca="1" si="6">SUM(D48:D51)</f>
        <v>0</v>
      </c>
      <c r="E52" s="725">
        <f t="shared" si="6"/>
        <v>6.4674087940912566</v>
      </c>
      <c r="F52" s="725">
        <f t="shared" si="6"/>
        <v>254.90649118935312</v>
      </c>
      <c r="G52" s="725">
        <f t="shared" si="6"/>
        <v>0</v>
      </c>
      <c r="H52" s="725">
        <f t="shared" si="6"/>
        <v>87388.852599063655</v>
      </c>
      <c r="I52" s="725">
        <f t="shared" si="6"/>
        <v>12272.220738916192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99926.85372796173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365.28733349901086</v>
      </c>
      <c r="D54" s="696">
        <f ca="1">+landbouw!C12</f>
        <v>12958.215126050422</v>
      </c>
      <c r="E54" s="696">
        <f>+landbouw!D12</f>
        <v>0</v>
      </c>
      <c r="F54" s="696">
        <f>+landbouw!E12</f>
        <v>4.9049477792907865</v>
      </c>
      <c r="G54" s="696">
        <f>+landbouw!F12</f>
        <v>1579.6303708275211</v>
      </c>
      <c r="H54" s="696">
        <f>+landbouw!G12</f>
        <v>0</v>
      </c>
      <c r="I54" s="696">
        <f>+landbouw!H12</f>
        <v>0</v>
      </c>
      <c r="J54" s="696">
        <f>+landbouw!I12</f>
        <v>0</v>
      </c>
      <c r="K54" s="696">
        <f>+landbouw!J12</f>
        <v>91.287614084069304</v>
      </c>
      <c r="L54" s="696">
        <f>+landbouw!K12</f>
        <v>0</v>
      </c>
      <c r="M54" s="696">
        <f>+landbouw!L12</f>
        <v>0</v>
      </c>
      <c r="N54" s="696">
        <f>+landbouw!M12</f>
        <v>0</v>
      </c>
      <c r="O54" s="696">
        <f>+landbouw!N12</f>
        <v>0</v>
      </c>
      <c r="P54" s="696">
        <f>+landbouw!O12</f>
        <v>0</v>
      </c>
      <c r="Q54" s="697">
        <f>+landbouw!P12</f>
        <v>0</v>
      </c>
      <c r="R54" s="724">
        <f ca="1">SUM(C54:Q54)</f>
        <v>14999.325392240313</v>
      </c>
    </row>
    <row r="55" spans="1:18" ht="15" thickBot="1">
      <c r="A55" s="821" t="s">
        <v>872</v>
      </c>
      <c r="B55" s="831"/>
      <c r="C55" s="696">
        <f ca="1">C25*'EF ele_warmte'!B12</f>
        <v>313.20411756010077</v>
      </c>
      <c r="D55" s="696"/>
      <c r="E55" s="696">
        <f>E25*EF_CO2_aardgas</f>
        <v>1153.6071439452066</v>
      </c>
      <c r="F55" s="696"/>
      <c r="G55" s="696"/>
      <c r="H55" s="696"/>
      <c r="I55" s="696"/>
      <c r="J55" s="696"/>
      <c r="K55" s="696"/>
      <c r="L55" s="696"/>
      <c r="M55" s="696"/>
      <c r="N55" s="696"/>
      <c r="O55" s="696"/>
      <c r="P55" s="696"/>
      <c r="Q55" s="697"/>
      <c r="R55" s="724">
        <f ca="1">SUM(C55:Q55)</f>
        <v>1466.8112615053074</v>
      </c>
    </row>
    <row r="56" spans="1:18" ht="15.75" thickBot="1">
      <c r="A56" s="819" t="s">
        <v>873</v>
      </c>
      <c r="B56" s="832"/>
      <c r="C56" s="725">
        <f ca="1">SUM(C54:C55)</f>
        <v>678.49145105911157</v>
      </c>
      <c r="D56" s="725">
        <f t="shared" ref="D56:Q56" ca="1" si="7">SUM(D54:D55)</f>
        <v>12958.215126050422</v>
      </c>
      <c r="E56" s="725">
        <f t="shared" si="7"/>
        <v>1153.6071439452066</v>
      </c>
      <c r="F56" s="725">
        <f t="shared" si="7"/>
        <v>4.9049477792907865</v>
      </c>
      <c r="G56" s="725">
        <f t="shared" si="7"/>
        <v>1579.6303708275211</v>
      </c>
      <c r="H56" s="725">
        <f t="shared" si="7"/>
        <v>0</v>
      </c>
      <c r="I56" s="725">
        <f t="shared" si="7"/>
        <v>0</v>
      </c>
      <c r="J56" s="725">
        <f t="shared" si="7"/>
        <v>0</v>
      </c>
      <c r="K56" s="725">
        <f t="shared" si="7"/>
        <v>91.287614084069304</v>
      </c>
      <c r="L56" s="725">
        <f t="shared" si="7"/>
        <v>0</v>
      </c>
      <c r="M56" s="725">
        <f t="shared" si="7"/>
        <v>0</v>
      </c>
      <c r="N56" s="725">
        <f t="shared" si="7"/>
        <v>0</v>
      </c>
      <c r="O56" s="725">
        <f t="shared" si="7"/>
        <v>0</v>
      </c>
      <c r="P56" s="725">
        <f t="shared" si="7"/>
        <v>0</v>
      </c>
      <c r="Q56" s="726">
        <f t="shared" si="7"/>
        <v>0</v>
      </c>
      <c r="R56" s="727">
        <f ca="1">SUM(R54:R55)</f>
        <v>16466.13665374562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23127.590130569602</v>
      </c>
      <c r="D61" s="733">
        <f t="shared" ref="D61:Q61" ca="1" si="8">D46+D52+D56</f>
        <v>16056.453781512606</v>
      </c>
      <c r="E61" s="733">
        <f t="shared" ca="1" si="8"/>
        <v>35558.167386339075</v>
      </c>
      <c r="F61" s="733">
        <f t="shared" si="8"/>
        <v>938.05323997623191</v>
      </c>
      <c r="G61" s="733">
        <f t="shared" ca="1" si="8"/>
        <v>5339.7574315592719</v>
      </c>
      <c r="H61" s="733">
        <f t="shared" si="8"/>
        <v>87388.852599063655</v>
      </c>
      <c r="I61" s="733">
        <f t="shared" si="8"/>
        <v>12272.220738916192</v>
      </c>
      <c r="J61" s="733">
        <f t="shared" si="8"/>
        <v>0</v>
      </c>
      <c r="K61" s="733">
        <f t="shared" si="8"/>
        <v>93.793329702692219</v>
      </c>
      <c r="L61" s="733">
        <f t="shared" si="8"/>
        <v>0</v>
      </c>
      <c r="M61" s="733">
        <f t="shared" ca="1" si="8"/>
        <v>0</v>
      </c>
      <c r="N61" s="733">
        <f t="shared" si="8"/>
        <v>0</v>
      </c>
      <c r="O61" s="733">
        <f t="shared" ca="1" si="8"/>
        <v>0</v>
      </c>
      <c r="P61" s="733">
        <f t="shared" si="8"/>
        <v>0</v>
      </c>
      <c r="Q61" s="733">
        <f t="shared" si="8"/>
        <v>0</v>
      </c>
      <c r="R61" s="733">
        <f ca="1">R46+R52+R56</f>
        <v>180774.88863763929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0.21303012820121833</v>
      </c>
      <c r="D63" s="776">
        <f t="shared" ca="1" si="9"/>
        <v>0.23764705882352943</v>
      </c>
      <c r="E63" s="1011">
        <f t="shared" ca="1" si="9"/>
        <v>0.20200000000000004</v>
      </c>
      <c r="F63" s="776">
        <f t="shared" si="9"/>
        <v>0.22699999999999998</v>
      </c>
      <c r="G63" s="776">
        <f t="shared" ca="1" si="9"/>
        <v>0.26700000000000002</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7477.6959999999999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47295</v>
      </c>
      <c r="D76" s="1021">
        <f>'lokale energieproductie'!C8</f>
        <v>55641.176470588238</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11239.517647058825</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7477.6959999999999</v>
      </c>
      <c r="C78" s="748">
        <f>SUM(C72:C77)</f>
        <v>47295</v>
      </c>
      <c r="D78" s="749">
        <f t="shared" ref="D78:H78" si="10">SUM(D76:D77)</f>
        <v>55641.176470588238</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11239.517647058825</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67564.28571428571</v>
      </c>
      <c r="D87" s="770">
        <f>'lokale energieproductie'!C17</f>
        <v>79487.394957983197</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16056.453781512606</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67564.28571428571</v>
      </c>
      <c r="D90" s="748">
        <f t="shared" ref="D90:H90" si="12">SUM(D87:D89)</f>
        <v>79487.394957983197</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16056.453781512606</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7477.6959999999999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47295</v>
      </c>
      <c r="C8" s="560">
        <f>B101</f>
        <v>55641.176470588238</v>
      </c>
      <c r="D8" s="1028"/>
      <c r="E8" s="1028">
        <f>E101</f>
        <v>0</v>
      </c>
      <c r="F8" s="1029"/>
      <c r="G8" s="561"/>
      <c r="H8" s="1028">
        <f>I101</f>
        <v>0</v>
      </c>
      <c r="I8" s="1028">
        <f>G101+F101</f>
        <v>0</v>
      </c>
      <c r="J8" s="1028">
        <f>H101+D101+C101</f>
        <v>0</v>
      </c>
      <c r="K8" s="1028"/>
      <c r="L8" s="1028"/>
      <c r="M8" s="1028"/>
      <c r="N8" s="562"/>
      <c r="O8" s="563">
        <f>C8*$C$12+D8*$D$12+E8*$E$12+F8*$F$12+G8*$G$12+H8*$H$12+I8*$I$12+J8*$J$12</f>
        <v>11239.517647058825</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54772.695999999996</v>
      </c>
      <c r="C10" s="573">
        <f t="shared" ref="C10:L10" si="0">SUM(C8:C9)</f>
        <v>55641.176470588238</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11239.517647058825</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67564.28571428571</v>
      </c>
      <c r="C17" s="585">
        <f>B102</f>
        <v>79487.394957983197</v>
      </c>
      <c r="D17" s="586"/>
      <c r="E17" s="586">
        <f>E102</f>
        <v>0</v>
      </c>
      <c r="F17" s="1034"/>
      <c r="G17" s="587"/>
      <c r="H17" s="585">
        <f>I102</f>
        <v>0</v>
      </c>
      <c r="I17" s="586">
        <f>G102+F102</f>
        <v>0</v>
      </c>
      <c r="J17" s="586">
        <f>H102+D102+C102</f>
        <v>0</v>
      </c>
      <c r="K17" s="586"/>
      <c r="L17" s="586"/>
      <c r="M17" s="586"/>
      <c r="N17" s="1035"/>
      <c r="O17" s="588">
        <f>C17*$C$22+E17*$E$22+H17*$H$22+I17*$I$22+J17*$J$22+D17*$D$22+F17*$F$22+G17*$G$22+K17*$K$22+L17*$L$22</f>
        <v>16056.453781512606</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67564.28571428571</v>
      </c>
      <c r="C20" s="572">
        <f>SUM(C17:C19)</f>
        <v>79487.394957983197</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16056.453781512606</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11024</v>
      </c>
      <c r="C28" s="791">
        <v>2550</v>
      </c>
      <c r="D28" s="644" t="s">
        <v>913</v>
      </c>
      <c r="E28" s="643" t="s">
        <v>914</v>
      </c>
      <c r="F28" s="643" t="s">
        <v>915</v>
      </c>
      <c r="G28" s="643" t="s">
        <v>916</v>
      </c>
      <c r="H28" s="643" t="s">
        <v>917</v>
      </c>
      <c r="I28" s="643" t="s">
        <v>914</v>
      </c>
      <c r="J28" s="790">
        <v>39444</v>
      </c>
      <c r="K28" s="790">
        <v>39444</v>
      </c>
      <c r="L28" s="643" t="s">
        <v>918</v>
      </c>
      <c r="M28" s="643">
        <v>4008</v>
      </c>
      <c r="N28" s="643">
        <v>18036</v>
      </c>
      <c r="O28" s="643">
        <v>25765.714285714286</v>
      </c>
      <c r="P28" s="643">
        <v>51531.428571428572</v>
      </c>
      <c r="Q28" s="643">
        <v>0</v>
      </c>
      <c r="R28" s="643">
        <v>0</v>
      </c>
      <c r="S28" s="643">
        <v>0</v>
      </c>
      <c r="T28" s="643">
        <v>0</v>
      </c>
      <c r="U28" s="643">
        <v>0</v>
      </c>
      <c r="V28" s="643">
        <v>0</v>
      </c>
      <c r="W28" s="643">
        <v>0</v>
      </c>
      <c r="X28" s="643">
        <v>10</v>
      </c>
      <c r="Y28" s="643" t="s">
        <v>112</v>
      </c>
      <c r="Z28" s="645" t="s">
        <v>112</v>
      </c>
    </row>
    <row r="29" spans="1:26" s="597" customFormat="1" ht="38.25">
      <c r="A29" s="596"/>
      <c r="B29" s="791">
        <v>11024</v>
      </c>
      <c r="C29" s="791">
        <v>2550</v>
      </c>
      <c r="D29" s="644" t="s">
        <v>919</v>
      </c>
      <c r="E29" s="643" t="s">
        <v>920</v>
      </c>
      <c r="F29" s="643" t="s">
        <v>921</v>
      </c>
      <c r="G29" s="643" t="s">
        <v>916</v>
      </c>
      <c r="H29" s="643" t="s">
        <v>917</v>
      </c>
      <c r="I29" s="643" t="s">
        <v>920</v>
      </c>
      <c r="J29" s="790">
        <v>39471</v>
      </c>
      <c r="K29" s="790">
        <v>39524</v>
      </c>
      <c r="L29" s="643" t="s">
        <v>918</v>
      </c>
      <c r="M29" s="643">
        <v>1746</v>
      </c>
      <c r="N29" s="643">
        <v>7857</v>
      </c>
      <c r="O29" s="643">
        <v>11224.285714285714</v>
      </c>
      <c r="P29" s="643">
        <v>22448.571428571431</v>
      </c>
      <c r="Q29" s="643">
        <v>0</v>
      </c>
      <c r="R29" s="643">
        <v>0</v>
      </c>
      <c r="S29" s="643">
        <v>0</v>
      </c>
      <c r="T29" s="643">
        <v>0</v>
      </c>
      <c r="U29" s="643">
        <v>0</v>
      </c>
      <c r="V29" s="643">
        <v>0</v>
      </c>
      <c r="W29" s="643">
        <v>0</v>
      </c>
      <c r="X29" s="643">
        <v>10</v>
      </c>
      <c r="Y29" s="643" t="s">
        <v>112</v>
      </c>
      <c r="Z29" s="645" t="s">
        <v>112</v>
      </c>
    </row>
    <row r="30" spans="1:26" s="597" customFormat="1" ht="63.75">
      <c r="A30" s="596"/>
      <c r="B30" s="791">
        <v>11024</v>
      </c>
      <c r="C30" s="791">
        <v>2550</v>
      </c>
      <c r="D30" s="644" t="s">
        <v>922</v>
      </c>
      <c r="E30" s="643" t="s">
        <v>923</v>
      </c>
      <c r="F30" s="643" t="s">
        <v>924</v>
      </c>
      <c r="G30" s="643" t="s">
        <v>916</v>
      </c>
      <c r="H30" s="643" t="s">
        <v>917</v>
      </c>
      <c r="I30" s="643" t="s">
        <v>925</v>
      </c>
      <c r="J30" s="790">
        <v>39544</v>
      </c>
      <c r="K30" s="790">
        <v>39583</v>
      </c>
      <c r="L30" s="643" t="s">
        <v>918</v>
      </c>
      <c r="M30" s="643">
        <v>2028</v>
      </c>
      <c r="N30" s="643">
        <v>9126</v>
      </c>
      <c r="O30" s="643">
        <v>13037.142857142857</v>
      </c>
      <c r="P30" s="643">
        <v>26074.285714285717</v>
      </c>
      <c r="Q30" s="643">
        <v>0</v>
      </c>
      <c r="R30" s="643">
        <v>0</v>
      </c>
      <c r="S30" s="643">
        <v>0</v>
      </c>
      <c r="T30" s="643">
        <v>0</v>
      </c>
      <c r="U30" s="643">
        <v>0</v>
      </c>
      <c r="V30" s="643">
        <v>0</v>
      </c>
      <c r="W30" s="643">
        <v>0</v>
      </c>
      <c r="X30" s="643">
        <v>1600</v>
      </c>
      <c r="Y30" s="643" t="s">
        <v>50</v>
      </c>
      <c r="Z30" s="645" t="s">
        <v>156</v>
      </c>
    </row>
    <row r="31" spans="1:26" s="597" customFormat="1" ht="25.5">
      <c r="A31" s="596"/>
      <c r="B31" s="791">
        <v>11024</v>
      </c>
      <c r="C31" s="791">
        <v>2550</v>
      </c>
      <c r="D31" s="644" t="s">
        <v>926</v>
      </c>
      <c r="E31" s="643" t="s">
        <v>927</v>
      </c>
      <c r="F31" s="643" t="s">
        <v>928</v>
      </c>
      <c r="G31" s="643" t="s">
        <v>916</v>
      </c>
      <c r="H31" s="643" t="s">
        <v>917</v>
      </c>
      <c r="I31" s="643" t="s">
        <v>927</v>
      </c>
      <c r="J31" s="790">
        <v>40849</v>
      </c>
      <c r="K31" s="790">
        <v>39645</v>
      </c>
      <c r="L31" s="643" t="s">
        <v>918</v>
      </c>
      <c r="M31" s="643">
        <v>2728</v>
      </c>
      <c r="N31" s="643">
        <v>12276.000000000002</v>
      </c>
      <c r="O31" s="643">
        <v>17537.142857142859</v>
      </c>
      <c r="P31" s="643">
        <v>35074.285714285725</v>
      </c>
      <c r="Q31" s="643">
        <v>0</v>
      </c>
      <c r="R31" s="643">
        <v>0</v>
      </c>
      <c r="S31" s="643">
        <v>0</v>
      </c>
      <c r="T31" s="643">
        <v>0</v>
      </c>
      <c r="U31" s="643">
        <v>0</v>
      </c>
      <c r="V31" s="643">
        <v>0</v>
      </c>
      <c r="W31" s="643">
        <v>0</v>
      </c>
      <c r="X31" s="643">
        <v>10</v>
      </c>
      <c r="Y31" s="643" t="s">
        <v>112</v>
      </c>
      <c r="Z31" s="645" t="s">
        <v>112</v>
      </c>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10510</v>
      </c>
      <c r="N58" s="601">
        <f>SUM(N28:N57)</f>
        <v>47295</v>
      </c>
      <c r="O58" s="601">
        <f t="shared" ref="O58:W58" si="2">SUM(O28:O57)</f>
        <v>67564.28571428571</v>
      </c>
      <c r="P58" s="601">
        <f t="shared" si="2"/>
        <v>135128.57142857142</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2028</v>
      </c>
      <c r="N60" s="601">
        <f ca="1">SUMIF($Z$28:AD57,"tertiair",N28:N57)</f>
        <v>9126</v>
      </c>
      <c r="O60" s="601">
        <f ca="1">SUMIF($Z$28:AE57,"tertiair",O28:O57)</f>
        <v>13037.142857142857</v>
      </c>
      <c r="P60" s="601">
        <f ca="1">SUMIF($Z$28:AF57,"tertiair",P28:P57)</f>
        <v>26074.285714285717</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8482</v>
      </c>
      <c r="N61" s="606">
        <f t="shared" si="4"/>
        <v>38169</v>
      </c>
      <c r="O61" s="606">
        <f t="shared" si="4"/>
        <v>54527.142857142855</v>
      </c>
      <c r="P61" s="606">
        <f t="shared" si="4"/>
        <v>109054.28571428572</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55641.176470588238</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79487.394957983197</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38291.824704153594</v>
      </c>
      <c r="C4" s="462">
        <f>huishoudens!C8</f>
        <v>0</v>
      </c>
      <c r="D4" s="462">
        <f>huishoudens!D8</f>
        <v>118559.64422228627</v>
      </c>
      <c r="E4" s="462">
        <f>huishoudens!E8</f>
        <v>1143.2953149692783</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10715.3277544803</v>
      </c>
      <c r="O4" s="462">
        <f>huishoudens!O8</f>
        <v>184.47333333333336</v>
      </c>
      <c r="P4" s="463">
        <f>huishoudens!P8</f>
        <v>286</v>
      </c>
      <c r="Q4" s="464">
        <f>SUM(B4:P4)</f>
        <v>169180.56532922279</v>
      </c>
    </row>
    <row r="5" spans="1:17">
      <c r="A5" s="461" t="s">
        <v>156</v>
      </c>
      <c r="B5" s="462">
        <f ca="1">tertiair!B16</f>
        <v>55767.265640718921</v>
      </c>
      <c r="C5" s="462">
        <f ca="1">tertiair!C16</f>
        <v>13037.142857142857</v>
      </c>
      <c r="D5" s="462">
        <f ca="1">tertiair!D16</f>
        <v>39126.045911693145</v>
      </c>
      <c r="E5" s="462">
        <f>tertiair!E16</f>
        <v>549.64760057268927</v>
      </c>
      <c r="F5" s="462">
        <f ca="1">tertiair!F16</f>
        <v>8475.4834751212966</v>
      </c>
      <c r="G5" s="462">
        <f>tertiair!G16</f>
        <v>0</v>
      </c>
      <c r="H5" s="462">
        <f>tertiair!H16</f>
        <v>0</v>
      </c>
      <c r="I5" s="462">
        <f>tertiair!I16</f>
        <v>0</v>
      </c>
      <c r="J5" s="462">
        <f>tertiair!J16</f>
        <v>0</v>
      </c>
      <c r="K5" s="462">
        <f>tertiair!K16</f>
        <v>0</v>
      </c>
      <c r="L5" s="462">
        <f ca="1">tertiair!L16</f>
        <v>0</v>
      </c>
      <c r="M5" s="462">
        <f>tertiair!M16</f>
        <v>0</v>
      </c>
      <c r="N5" s="462">
        <f ca="1">tertiair!N16</f>
        <v>1819.7328934272055</v>
      </c>
      <c r="O5" s="462">
        <f>tertiair!O16</f>
        <v>0</v>
      </c>
      <c r="P5" s="463">
        <f>tertiair!P16</f>
        <v>76.266666666666666</v>
      </c>
      <c r="Q5" s="461">
        <f t="shared" ref="Q5:Q14" ca="1" si="0">SUM(B5:P5)</f>
        <v>118851.58504534277</v>
      </c>
    </row>
    <row r="6" spans="1:17">
      <c r="A6" s="461" t="s">
        <v>194</v>
      </c>
      <c r="B6" s="462">
        <f>'openbare verlichting'!B8</f>
        <v>1362.7270000000001</v>
      </c>
      <c r="C6" s="462"/>
      <c r="D6" s="462"/>
      <c r="E6" s="462"/>
      <c r="F6" s="462"/>
      <c r="G6" s="462"/>
      <c r="H6" s="462"/>
      <c r="I6" s="462"/>
      <c r="J6" s="462"/>
      <c r="K6" s="462"/>
      <c r="L6" s="462"/>
      <c r="M6" s="462"/>
      <c r="N6" s="462"/>
      <c r="O6" s="462"/>
      <c r="P6" s="463"/>
      <c r="Q6" s="461">
        <f t="shared" si="0"/>
        <v>1362.7270000000001</v>
      </c>
    </row>
    <row r="7" spans="1:17">
      <c r="A7" s="461" t="s">
        <v>112</v>
      </c>
      <c r="B7" s="462">
        <f>landbouw!B8</f>
        <v>1714.7214649093082</v>
      </c>
      <c r="C7" s="462">
        <f>landbouw!C8</f>
        <v>54527.142857142855</v>
      </c>
      <c r="D7" s="462">
        <f>landbouw!D8</f>
        <v>0</v>
      </c>
      <c r="E7" s="462">
        <f>landbouw!E8</f>
        <v>21.60769946824135</v>
      </c>
      <c r="F7" s="462">
        <f>landbouw!F8</f>
        <v>5916.2186173315395</v>
      </c>
      <c r="G7" s="462">
        <f>landbouw!G8</f>
        <v>0</v>
      </c>
      <c r="H7" s="462">
        <f>landbouw!H8</f>
        <v>0</v>
      </c>
      <c r="I7" s="462">
        <f>landbouw!I8</f>
        <v>0</v>
      </c>
      <c r="J7" s="462">
        <f>landbouw!J8</f>
        <v>257.87461605669296</v>
      </c>
      <c r="K7" s="462">
        <f>landbouw!K8</f>
        <v>0</v>
      </c>
      <c r="L7" s="462">
        <f>landbouw!L8</f>
        <v>0</v>
      </c>
      <c r="M7" s="462">
        <f>landbouw!M8</f>
        <v>0</v>
      </c>
      <c r="N7" s="462">
        <f>landbouw!N8</f>
        <v>0</v>
      </c>
      <c r="O7" s="462">
        <f>landbouw!O8</f>
        <v>0</v>
      </c>
      <c r="P7" s="463">
        <f>landbouw!P8</f>
        <v>0</v>
      </c>
      <c r="Q7" s="461">
        <f t="shared" si="0"/>
        <v>62437.565254908644</v>
      </c>
    </row>
    <row r="8" spans="1:17">
      <c r="A8" s="461" t="s">
        <v>657</v>
      </c>
      <c r="B8" s="462">
        <f>industrie!B18</f>
        <v>9937.4216464866586</v>
      </c>
      <c r="C8" s="462">
        <f>industrie!C18</f>
        <v>0</v>
      </c>
      <c r="D8" s="462">
        <f>industrie!D18</f>
        <v>12601.898151167974</v>
      </c>
      <c r="E8" s="462">
        <f>industrie!E18</f>
        <v>1294.9064281037945</v>
      </c>
      <c r="F8" s="462">
        <f>industrie!F18</f>
        <v>5607.3894115144731</v>
      </c>
      <c r="G8" s="462">
        <f>industrie!G18</f>
        <v>0</v>
      </c>
      <c r="H8" s="462">
        <f>industrie!H18</f>
        <v>0</v>
      </c>
      <c r="I8" s="462">
        <f>industrie!I18</f>
        <v>0</v>
      </c>
      <c r="J8" s="462">
        <f>industrie!J18</f>
        <v>7.0782927079743283</v>
      </c>
      <c r="K8" s="462">
        <f>industrie!K18</f>
        <v>0</v>
      </c>
      <c r="L8" s="462">
        <f>industrie!L18</f>
        <v>0</v>
      </c>
      <c r="M8" s="462">
        <f>industrie!M18</f>
        <v>0</v>
      </c>
      <c r="N8" s="462">
        <f>industrie!N18</f>
        <v>5157.6680131999046</v>
      </c>
      <c r="O8" s="462">
        <f>industrie!O18</f>
        <v>0</v>
      </c>
      <c r="P8" s="463">
        <f>industrie!P18</f>
        <v>0</v>
      </c>
      <c r="Q8" s="461">
        <f t="shared" si="0"/>
        <v>34606.361943180775</v>
      </c>
    </row>
    <row r="9" spans="1:17" s="467" customFormat="1">
      <c r="A9" s="465" t="s">
        <v>574</v>
      </c>
      <c r="B9" s="466">
        <f>transport!B14</f>
        <v>20.68482066669549</v>
      </c>
      <c r="C9" s="466">
        <f>transport!C14</f>
        <v>0</v>
      </c>
      <c r="D9" s="466">
        <f>transport!D14</f>
        <v>32.016875218273547</v>
      </c>
      <c r="E9" s="466">
        <f>transport!E14</f>
        <v>1122.9360845345952</v>
      </c>
      <c r="F9" s="466">
        <f>transport!F14</f>
        <v>0</v>
      </c>
      <c r="G9" s="466">
        <f>transport!G14</f>
        <v>325289.73018701281</v>
      </c>
      <c r="H9" s="466">
        <f>transport!H14</f>
        <v>49286.027063920454</v>
      </c>
      <c r="I9" s="466">
        <f>transport!I14</f>
        <v>0</v>
      </c>
      <c r="J9" s="466">
        <f>transport!J14</f>
        <v>0</v>
      </c>
      <c r="K9" s="466">
        <f>transport!K14</f>
        <v>0</v>
      </c>
      <c r="L9" s="466">
        <f>transport!L14</f>
        <v>0</v>
      </c>
      <c r="M9" s="466">
        <f>transport!M14</f>
        <v>16928.258619943674</v>
      </c>
      <c r="N9" s="466">
        <f>transport!N14</f>
        <v>0</v>
      </c>
      <c r="O9" s="466">
        <f>transport!O14</f>
        <v>0</v>
      </c>
      <c r="P9" s="466">
        <f>transport!P14</f>
        <v>0</v>
      </c>
      <c r="Q9" s="465">
        <f>SUM(B9:P9)</f>
        <v>392679.65365129651</v>
      </c>
    </row>
    <row r="10" spans="1:17">
      <c r="A10" s="461" t="s">
        <v>564</v>
      </c>
      <c r="B10" s="462">
        <f>transport!B54</f>
        <v>0</v>
      </c>
      <c r="C10" s="462">
        <f>transport!C54</f>
        <v>0</v>
      </c>
      <c r="D10" s="462">
        <f>transport!D54</f>
        <v>0</v>
      </c>
      <c r="E10" s="462">
        <f>transport!E54</f>
        <v>0</v>
      </c>
      <c r="F10" s="462">
        <f>transport!F54</f>
        <v>0</v>
      </c>
      <c r="G10" s="462">
        <f>transport!G54</f>
        <v>2009.3432177199638</v>
      </c>
      <c r="H10" s="462">
        <f>transport!H54</f>
        <v>0</v>
      </c>
      <c r="I10" s="462">
        <f>transport!I54</f>
        <v>0</v>
      </c>
      <c r="J10" s="462">
        <f>transport!J54</f>
        <v>0</v>
      </c>
      <c r="K10" s="462">
        <f>transport!K54</f>
        <v>0</v>
      </c>
      <c r="L10" s="462">
        <f>transport!L54</f>
        <v>0</v>
      </c>
      <c r="M10" s="462">
        <f>transport!M54</f>
        <v>89.360407577492808</v>
      </c>
      <c r="N10" s="462">
        <f>transport!N54</f>
        <v>0</v>
      </c>
      <c r="O10" s="462">
        <f>transport!O54</f>
        <v>0</v>
      </c>
      <c r="P10" s="463">
        <f>transport!P54</f>
        <v>0</v>
      </c>
      <c r="Q10" s="461">
        <f t="shared" si="0"/>
        <v>2098.7036252974567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1470.2339063715099</v>
      </c>
      <c r="C14" s="469"/>
      <c r="D14" s="469">
        <f>'SEAP template'!E25</f>
        <v>5710.9264551742899</v>
      </c>
      <c r="E14" s="469"/>
      <c r="F14" s="469"/>
      <c r="G14" s="469"/>
      <c r="H14" s="469"/>
      <c r="I14" s="469"/>
      <c r="J14" s="469"/>
      <c r="K14" s="469"/>
      <c r="L14" s="469"/>
      <c r="M14" s="469"/>
      <c r="N14" s="469"/>
      <c r="O14" s="469"/>
      <c r="P14" s="470"/>
      <c r="Q14" s="461">
        <f t="shared" si="0"/>
        <v>7181.1603615457998</v>
      </c>
    </row>
    <row r="15" spans="1:17" s="474" customFormat="1">
      <c r="A15" s="471" t="s">
        <v>568</v>
      </c>
      <c r="B15" s="472">
        <f ca="1">SUM(B4:B14)</f>
        <v>108564.87918330668</v>
      </c>
      <c r="C15" s="472">
        <f t="shared" ref="C15:Q15" ca="1" si="1">SUM(C4:C14)</f>
        <v>67564.28571428571</v>
      </c>
      <c r="D15" s="472">
        <f t="shared" ca="1" si="1"/>
        <v>176030.53161553995</v>
      </c>
      <c r="E15" s="472">
        <f t="shared" si="1"/>
        <v>4132.3931276485991</v>
      </c>
      <c r="F15" s="472">
        <f t="shared" ca="1" si="1"/>
        <v>19999.091503967309</v>
      </c>
      <c r="G15" s="472">
        <f t="shared" si="1"/>
        <v>327299.0734047328</v>
      </c>
      <c r="H15" s="472">
        <f t="shared" si="1"/>
        <v>49286.027063920454</v>
      </c>
      <c r="I15" s="472">
        <f t="shared" si="1"/>
        <v>0</v>
      </c>
      <c r="J15" s="472">
        <f t="shared" si="1"/>
        <v>264.95290876466731</v>
      </c>
      <c r="K15" s="472">
        <f t="shared" si="1"/>
        <v>0</v>
      </c>
      <c r="L15" s="472">
        <f t="shared" ca="1" si="1"/>
        <v>0</v>
      </c>
      <c r="M15" s="472">
        <f t="shared" si="1"/>
        <v>17017.619027521167</v>
      </c>
      <c r="N15" s="472">
        <f t="shared" ca="1" si="1"/>
        <v>17692.728661107412</v>
      </c>
      <c r="O15" s="472">
        <f t="shared" si="1"/>
        <v>184.47333333333336</v>
      </c>
      <c r="P15" s="472">
        <f t="shared" si="1"/>
        <v>362.26666666666665</v>
      </c>
      <c r="Q15" s="472">
        <f t="shared" ca="1" si="1"/>
        <v>788398.32221079466</v>
      </c>
    </row>
    <row r="17" spans="1:17">
      <c r="A17" s="475" t="s">
        <v>569</v>
      </c>
      <c r="B17" s="781">
        <f ca="1">huishoudens!B10</f>
        <v>0.21303012820121833</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8157.312325784419</v>
      </c>
      <c r="C22" s="462">
        <f t="shared" ref="C22:C32" ca="1" si="3">C4*$C$17</f>
        <v>0</v>
      </c>
      <c r="D22" s="462">
        <f t="shared" ref="D22:D32" si="4">D4*$D$17</f>
        <v>23949.048132901829</v>
      </c>
      <c r="E22" s="462">
        <f t="shared" ref="E22:E32" si="5">E4*$E$17</f>
        <v>259.52803649802615</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32365.888495184274</v>
      </c>
    </row>
    <row r="23" spans="1:17">
      <c r="A23" s="461" t="s">
        <v>156</v>
      </c>
      <c r="B23" s="462">
        <f t="shared" ca="1" si="2"/>
        <v>11880.10774887375</v>
      </c>
      <c r="C23" s="462">
        <f t="shared" ca="1" si="3"/>
        <v>3098.2386554621853</v>
      </c>
      <c r="D23" s="462">
        <f t="shared" ca="1" si="4"/>
        <v>7903.4612741620158</v>
      </c>
      <c r="E23" s="462">
        <f t="shared" si="5"/>
        <v>124.77000533000047</v>
      </c>
      <c r="F23" s="462">
        <f t="shared" ca="1" si="6"/>
        <v>2262.9540878573862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25269.531771685335</v>
      </c>
    </row>
    <row r="24" spans="1:17">
      <c r="A24" s="461" t="s">
        <v>194</v>
      </c>
      <c r="B24" s="462">
        <f t="shared" ca="1" si="2"/>
        <v>290.30190751326165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290.30190751326165</v>
      </c>
    </row>
    <row r="25" spans="1:17">
      <c r="A25" s="461" t="s">
        <v>112</v>
      </c>
      <c r="B25" s="462">
        <f t="shared" ca="1" si="2"/>
        <v>365.28733349901086</v>
      </c>
      <c r="C25" s="462">
        <f t="shared" ca="1" si="3"/>
        <v>12958.215126050422</v>
      </c>
      <c r="D25" s="462">
        <f t="shared" si="4"/>
        <v>0</v>
      </c>
      <c r="E25" s="462">
        <f t="shared" si="5"/>
        <v>4.9049477792907865</v>
      </c>
      <c r="F25" s="462">
        <f t="shared" si="6"/>
        <v>1579.6303708275211</v>
      </c>
      <c r="G25" s="462">
        <f t="shared" si="7"/>
        <v>0</v>
      </c>
      <c r="H25" s="462">
        <f t="shared" si="8"/>
        <v>0</v>
      </c>
      <c r="I25" s="462">
        <f t="shared" si="9"/>
        <v>0</v>
      </c>
      <c r="J25" s="462">
        <f t="shared" si="10"/>
        <v>91.287614084069304</v>
      </c>
      <c r="K25" s="462">
        <f t="shared" si="11"/>
        <v>0</v>
      </c>
      <c r="L25" s="462">
        <f t="shared" si="12"/>
        <v>0</v>
      </c>
      <c r="M25" s="462">
        <f t="shared" si="13"/>
        <v>0</v>
      </c>
      <c r="N25" s="462">
        <f t="shared" si="14"/>
        <v>0</v>
      </c>
      <c r="O25" s="462">
        <f t="shared" si="15"/>
        <v>0</v>
      </c>
      <c r="P25" s="463">
        <f t="shared" si="16"/>
        <v>0</v>
      </c>
      <c r="Q25" s="461">
        <f t="shared" ca="1" si="17"/>
        <v>14999.325392240313</v>
      </c>
    </row>
    <row r="26" spans="1:17">
      <c r="A26" s="461" t="s">
        <v>657</v>
      </c>
      <c r="B26" s="462">
        <f t="shared" ca="1" si="2"/>
        <v>2116.9702073406152</v>
      </c>
      <c r="C26" s="462">
        <f t="shared" ca="1" si="3"/>
        <v>0</v>
      </c>
      <c r="D26" s="462">
        <f t="shared" si="4"/>
        <v>2545.5834265359308</v>
      </c>
      <c r="E26" s="462">
        <f t="shared" si="5"/>
        <v>293.94375917956137</v>
      </c>
      <c r="F26" s="462">
        <f t="shared" si="6"/>
        <v>1497.1729728743644</v>
      </c>
      <c r="G26" s="462">
        <f t="shared" si="7"/>
        <v>0</v>
      </c>
      <c r="H26" s="462">
        <f t="shared" si="8"/>
        <v>0</v>
      </c>
      <c r="I26" s="462">
        <f t="shared" si="9"/>
        <v>0</v>
      </c>
      <c r="J26" s="462">
        <f t="shared" si="10"/>
        <v>2.5057156186229119</v>
      </c>
      <c r="K26" s="462">
        <f t="shared" si="11"/>
        <v>0</v>
      </c>
      <c r="L26" s="462">
        <f t="shared" si="12"/>
        <v>0</v>
      </c>
      <c r="M26" s="462">
        <f t="shared" si="13"/>
        <v>0</v>
      </c>
      <c r="N26" s="462">
        <f t="shared" si="14"/>
        <v>0</v>
      </c>
      <c r="O26" s="462">
        <f t="shared" si="15"/>
        <v>0</v>
      </c>
      <c r="P26" s="463">
        <f t="shared" si="16"/>
        <v>0</v>
      </c>
      <c r="Q26" s="461">
        <f t="shared" ca="1" si="17"/>
        <v>6456.1760815490943</v>
      </c>
    </row>
    <row r="27" spans="1:17" s="467" customFormat="1">
      <c r="A27" s="465" t="s">
        <v>574</v>
      </c>
      <c r="B27" s="775">
        <f t="shared" ca="1" si="2"/>
        <v>4.4064899984453509</v>
      </c>
      <c r="C27" s="466">
        <f t="shared" ca="1" si="3"/>
        <v>0</v>
      </c>
      <c r="D27" s="466">
        <f t="shared" si="4"/>
        <v>6.4674087940912566</v>
      </c>
      <c r="E27" s="466">
        <f t="shared" si="5"/>
        <v>254.90649118935312</v>
      </c>
      <c r="F27" s="466">
        <f t="shared" si="6"/>
        <v>0</v>
      </c>
      <c r="G27" s="466">
        <f t="shared" si="7"/>
        <v>86852.357959932429</v>
      </c>
      <c r="H27" s="466">
        <f t="shared" si="8"/>
        <v>12272.220738916192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99390.359088830504</v>
      </c>
    </row>
    <row r="28" spans="1:17">
      <c r="A28" s="461" t="s">
        <v>564</v>
      </c>
      <c r="B28" s="462">
        <f t="shared" ca="1" si="2"/>
        <v>0</v>
      </c>
      <c r="C28" s="462">
        <f t="shared" ca="1" si="3"/>
        <v>0</v>
      </c>
      <c r="D28" s="462">
        <f t="shared" si="4"/>
        <v>0</v>
      </c>
      <c r="E28" s="462">
        <f t="shared" si="5"/>
        <v>0</v>
      </c>
      <c r="F28" s="462">
        <f t="shared" si="6"/>
        <v>0</v>
      </c>
      <c r="G28" s="462">
        <f t="shared" si="7"/>
        <v>536.49463913123043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536.49463913123043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313.20411756010077</v>
      </c>
      <c r="C32" s="462">
        <f t="shared" ca="1" si="3"/>
        <v>0</v>
      </c>
      <c r="D32" s="462">
        <f t="shared" si="4"/>
        <v>1153.6071439452066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1466.8112615053074</v>
      </c>
    </row>
    <row r="33" spans="1:17" s="474" customFormat="1">
      <c r="A33" s="471" t="s">
        <v>568</v>
      </c>
      <c r="B33" s="472">
        <f ca="1">SUM(B22:B32)</f>
        <v>23127.590130569602</v>
      </c>
      <c r="C33" s="472">
        <f t="shared" ref="C33:Q33" ca="1" si="18">SUM(C22:C32)</f>
        <v>16056.453781512606</v>
      </c>
      <c r="D33" s="472">
        <f t="shared" ca="1" si="18"/>
        <v>35558.167386339075</v>
      </c>
      <c r="E33" s="472">
        <f t="shared" si="18"/>
        <v>938.05323997623191</v>
      </c>
      <c r="F33" s="472">
        <f t="shared" ca="1" si="18"/>
        <v>5339.7574315592719</v>
      </c>
      <c r="G33" s="472">
        <f t="shared" si="18"/>
        <v>87388.852599063655</v>
      </c>
      <c r="H33" s="472">
        <f t="shared" si="18"/>
        <v>12272.220738916192</v>
      </c>
      <c r="I33" s="472">
        <f t="shared" si="18"/>
        <v>0</v>
      </c>
      <c r="J33" s="472">
        <f t="shared" si="18"/>
        <v>93.793329702692219</v>
      </c>
      <c r="K33" s="472">
        <f t="shared" si="18"/>
        <v>0</v>
      </c>
      <c r="L33" s="472">
        <f t="shared" ca="1" si="18"/>
        <v>0</v>
      </c>
      <c r="M33" s="472">
        <f t="shared" si="18"/>
        <v>0</v>
      </c>
      <c r="N33" s="472">
        <f t="shared" ca="1" si="18"/>
        <v>0</v>
      </c>
      <c r="O33" s="472">
        <f t="shared" si="18"/>
        <v>0</v>
      </c>
      <c r="P33" s="472">
        <f t="shared" si="18"/>
        <v>0</v>
      </c>
      <c r="Q33" s="472">
        <f t="shared" ca="1" si="18"/>
        <v>180774.88863763932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7477.6959999999999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47295</v>
      </c>
      <c r="D8" s="1047">
        <f>'SEAP template'!D76</f>
        <v>55641.176470588238</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11239.517647058825</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7477.6959999999999</v>
      </c>
      <c r="C10" s="1051">
        <f>SUM(C4:C9)</f>
        <v>47295</v>
      </c>
      <c r="D10" s="1051">
        <f t="shared" ref="D10:H10" si="0">SUM(D8:D9)</f>
        <v>55641.176470588238</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11239.517647058825</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0.21303012820121833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67564.28571428571</v>
      </c>
      <c r="D17" s="1048">
        <f>'SEAP template'!D87</f>
        <v>79487.394957983197</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16056.453781512606</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67564.28571428571</v>
      </c>
      <c r="D20" s="1051">
        <f t="shared" ref="D20:H20" si="2">SUM(D17:D19)</f>
        <v>79487.394957983197</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16056.453781512606</v>
      </c>
    </row>
    <row r="22" spans="1:16">
      <c r="A22" s="475" t="s">
        <v>895</v>
      </c>
      <c r="B22" s="781" t="s">
        <v>889</v>
      </c>
      <c r="C22" s="781">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0.21303012820121833</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2019-08-12T08:00:38Z</dcterms:modified>
</cp:coreProperties>
</file>