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J8" s="1"/>
  <c r="C10"/>
  <c r="C20"/>
  <c r="I8"/>
  <c r="I10" s="1"/>
  <c r="I17"/>
  <c r="I2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J56"/>
  <c r="H56"/>
  <c r="Q56"/>
  <c r="R44"/>
  <c r="Q26"/>
  <c r="N26"/>
  <c r="I26"/>
  <c r="E25"/>
  <c r="D14" i="48" s="1"/>
  <c r="C25" i="14"/>
  <c r="B14" i="48" s="1"/>
  <c r="P26" i="14"/>
  <c r="L22"/>
  <c r="D22"/>
  <c r="R12"/>
  <c r="F13" i="15"/>
  <c r="D13"/>
  <c r="C13"/>
  <c r="J10" i="18" l="1"/>
  <c r="J76" i="14"/>
  <c r="Q14" i="48"/>
  <c r="O78" i="14"/>
  <c r="O9" i="56"/>
  <c r="O10" s="1"/>
  <c r="G90" i="14"/>
  <c r="G18" i="56"/>
  <c r="O90" i="14"/>
  <c r="O18" i="56"/>
  <c r="Q88" i="14"/>
  <c r="P18" i="56" s="1"/>
  <c r="D18"/>
  <c r="N78" i="14"/>
  <c r="N8" i="56"/>
  <c r="N10" s="1"/>
  <c r="H78" i="14"/>
  <c r="H9" i="56"/>
  <c r="H10" s="1"/>
  <c r="Q87" i="14"/>
  <c r="P17" i="56" s="1"/>
  <c r="P20" s="1"/>
  <c r="D17"/>
  <c r="D20" s="1"/>
  <c r="G78" i="14"/>
  <c r="F78"/>
  <c r="G10" i="56"/>
  <c r="C88" i="14"/>
  <c r="C18" i="56" s="1"/>
  <c r="G20"/>
  <c r="H90" i="14"/>
  <c r="M20" i="56"/>
  <c r="K78" i="14"/>
  <c r="K8" i="56"/>
  <c r="K10" s="1"/>
  <c r="L90" i="14"/>
  <c r="L17" i="56"/>
  <c r="L20" s="1"/>
  <c r="C77" i="14"/>
  <c r="C9" i="56" s="1"/>
  <c r="D9"/>
  <c r="D10" s="1"/>
  <c r="K90" i="14"/>
  <c r="K18" i="56"/>
  <c r="E8"/>
  <c r="E10" s="1"/>
  <c r="M78" i="14"/>
  <c r="M8" i="56"/>
  <c r="M10" s="1"/>
  <c r="K20"/>
  <c r="O20"/>
  <c r="N90" i="14"/>
  <c r="F10" i="56"/>
  <c r="F20"/>
  <c r="F90" i="14"/>
  <c r="E20" i="56"/>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B76" i="14"/>
  <c r="C20" i="56"/>
  <c r="C76" i="14"/>
  <c r="J90"/>
  <c r="J17" i="56"/>
  <c r="J20" s="1"/>
  <c r="C90" i="14"/>
  <c r="B87"/>
  <c r="B90" l="1"/>
  <c r="B17" i="56"/>
  <c r="B20" s="1"/>
  <c r="B8"/>
  <c r="B10" s="1"/>
  <c r="B78" i="14"/>
  <c r="B4" i="6" s="1"/>
  <c r="C8" i="56"/>
  <c r="C10" s="1"/>
  <c r="C78"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28"/>
  <c r="D24"/>
  <c r="D31"/>
  <c r="D29"/>
  <c r="D32"/>
  <c r="L32"/>
  <c r="L28"/>
  <c r="L27"/>
  <c r="L22"/>
  <c r="L31"/>
  <c r="L29"/>
  <c r="L30"/>
  <c r="L24"/>
  <c r="Q10" i="14"/>
  <c r="P5" i="48"/>
  <c r="P23" s="1"/>
  <c r="K32"/>
  <c r="K26"/>
  <c r="K28"/>
  <c r="K31"/>
  <c r="K29"/>
  <c r="K25"/>
  <c r="K22"/>
  <c r="K27"/>
  <c r="K24"/>
  <c r="K30"/>
  <c r="J10" i="14"/>
  <c r="J16" s="1"/>
  <c r="J27" s="1"/>
  <c r="I5" i="48"/>
  <c r="J24"/>
  <c r="J28"/>
  <c r="J27"/>
  <c r="J32"/>
  <c r="J30"/>
  <c r="J29"/>
  <c r="J31"/>
  <c r="Q11" i="14"/>
  <c r="P4" i="48"/>
  <c r="B7"/>
  <c r="C24" i="14"/>
  <c r="C26" s="1"/>
  <c r="P11"/>
  <c r="O4" i="48"/>
  <c r="I27"/>
  <c r="I32"/>
  <c r="I28"/>
  <c r="I22"/>
  <c r="I31"/>
  <c r="I29"/>
  <c r="I26"/>
  <c r="I25"/>
  <c r="I24"/>
  <c r="I30"/>
  <c r="E11" i="14"/>
  <c r="D4" i="48"/>
  <c r="D22" s="1"/>
  <c r="H32"/>
  <c r="H28"/>
  <c r="H24"/>
  <c r="H25"/>
  <c r="H30"/>
  <c r="H26"/>
  <c r="H29"/>
  <c r="H22"/>
  <c r="H23"/>
  <c r="D11" i="14"/>
  <c r="C4" i="48"/>
  <c r="G32"/>
  <c r="G25"/>
  <c r="G30"/>
  <c r="G24"/>
  <c r="G29"/>
  <c r="G26"/>
  <c r="G22"/>
  <c r="G23"/>
  <c r="C11" i="14"/>
  <c r="B4" i="48"/>
  <c r="F24"/>
  <c r="F32"/>
  <c r="F30"/>
  <c r="F31"/>
  <c r="F29"/>
  <c r="F27"/>
  <c r="F28"/>
  <c r="N31"/>
  <c r="N24"/>
  <c r="N32"/>
  <c r="N29"/>
  <c r="N30"/>
  <c r="N28"/>
  <c r="N27"/>
  <c r="B10"/>
  <c r="C19" i="14"/>
  <c r="E29" i="48"/>
  <c r="E32"/>
  <c r="E31"/>
  <c r="E28"/>
  <c r="E24"/>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P10" i="14"/>
  <c r="O5" i="48"/>
  <c r="O23" s="1"/>
  <c r="K23"/>
  <c r="K15"/>
  <c r="G11" i="14"/>
  <c r="F4" i="48"/>
  <c r="F22" s="1"/>
  <c r="I18" i="14"/>
  <c r="H13" i="48"/>
  <c r="H31" s="1"/>
  <c r="O22"/>
  <c r="Q13" i="14"/>
  <c r="P8" i="48"/>
  <c r="P26" s="1"/>
  <c r="M22"/>
  <c r="M25"/>
  <c r="M32"/>
  <c r="M26"/>
  <c r="M29"/>
  <c r="M24"/>
  <c r="M30"/>
  <c r="M23"/>
  <c r="G13"/>
  <c r="H18" i="14"/>
  <c r="N18"/>
  <c r="M13" i="48"/>
  <c r="M31" s="1"/>
  <c r="J12" i="17"/>
  <c r="K54" i="14" s="1"/>
  <c r="K56" s="1"/>
  <c r="J7" i="48"/>
  <c r="J25" s="1"/>
  <c r="K24" i="14"/>
  <c r="K26" s="1"/>
  <c r="I23" i="48"/>
  <c r="I15"/>
  <c r="J46" i="14"/>
  <c r="J61" s="1"/>
  <c r="K33" i="48"/>
  <c r="Q16" i="14"/>
  <c r="Q27" s="1"/>
  <c r="L46"/>
  <c r="L61" s="1"/>
  <c r="L63"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E4" i="48"/>
  <c r="F11" i="14"/>
  <c r="H19"/>
  <c r="G10" i="48"/>
  <c r="K11" i="14"/>
  <c r="J4" i="48"/>
  <c r="N20" i="14"/>
  <c r="N22" s="1"/>
  <c r="N27" s="1"/>
  <c r="M9" i="48"/>
  <c r="E7"/>
  <c r="E25" s="1"/>
  <c r="F24" i="14"/>
  <c r="F26" s="1"/>
  <c r="F20"/>
  <c r="F22" s="1"/>
  <c r="E9" i="48"/>
  <c r="E27" s="1"/>
  <c r="G31"/>
  <c r="Q13"/>
  <c r="R18" i="14"/>
  <c r="P13"/>
  <c r="P16" s="1"/>
  <c r="P27" s="1"/>
  <c r="O8" i="48"/>
  <c r="N19" i="14"/>
  <c r="M10" i="48"/>
  <c r="M28" s="1"/>
  <c r="E20" i="14"/>
  <c r="E22" s="1"/>
  <c r="D9" i="48"/>
  <c r="D27" s="1"/>
  <c r="C20" i="14"/>
  <c r="B9" i="48"/>
  <c r="E12" i="17"/>
  <c r="F54" i="14" s="1"/>
  <c r="F56" s="1"/>
  <c r="P15" i="48"/>
  <c r="H14" i="22"/>
  <c r="P33" i="48"/>
  <c r="D16" i="14"/>
  <c r="D27" s="1"/>
  <c r="B20" i="6" s="1"/>
  <c r="B22" s="1"/>
  <c r="C22" i="56" s="1"/>
  <c r="P46" i="14"/>
  <c r="P61" s="1"/>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F10"/>
  <c r="E5" i="48"/>
  <c r="E23" s="1"/>
  <c r="G28"/>
  <c r="Q10"/>
  <c r="H9"/>
  <c r="I20" i="14"/>
  <c r="I22" s="1"/>
  <c r="I27" s="1"/>
  <c r="J22" i="48"/>
  <c r="C22" i="14"/>
  <c r="M27" i="48"/>
  <c r="M33" s="1"/>
  <c r="M15"/>
  <c r="G9"/>
  <c r="H20" i="14"/>
  <c r="H22" s="1"/>
  <c r="H27" s="1"/>
  <c r="H63" s="1"/>
  <c r="E22" i="48"/>
  <c r="Q4"/>
  <c r="K10" i="14"/>
  <c r="J5" i="48"/>
  <c r="J23" s="1"/>
  <c r="O26"/>
  <c r="O33" s="1"/>
  <c r="O15"/>
  <c r="P63" i="14"/>
  <c r="H18" i="22"/>
  <c r="I50" i="14" s="1"/>
  <c r="I52" s="1"/>
  <c r="I61" s="1"/>
  <c r="R11"/>
  <c r="R19"/>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G27"/>
  <c r="G33" s="1"/>
  <c r="G15"/>
  <c r="H27"/>
  <c r="H33" s="1"/>
  <c r="H15"/>
  <c r="F13" i="14"/>
  <c r="E8" i="48"/>
  <c r="Q9"/>
  <c r="F46" i="14"/>
  <c r="F61" s="1"/>
  <c r="I63"/>
  <c r="R20"/>
  <c r="R22" s="1"/>
  <c r="F16"/>
  <c r="F27" s="1"/>
  <c r="F63" s="1"/>
  <c r="R10"/>
  <c r="K16"/>
  <c r="K27" s="1"/>
  <c r="C27"/>
  <c r="B3" i="6" s="1"/>
  <c r="B12" s="1"/>
  <c r="C12" i="56" s="1"/>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J26"/>
  <c r="J33" s="1"/>
  <c r="J15"/>
  <c r="K63" i="14"/>
  <c r="C55"/>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<sst xmlns="http://schemas.openxmlformats.org/spreadsheetml/2006/main" count="2486" uniqueCount="948">
  <si>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</si>
  <si>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</si>
  <si>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</si>
  <si>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</si>
  <si>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</si>
  <si>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</si>
  <si>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</si>
  <si>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</si>
  <si>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</si>
  <si>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</si>
  <si>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</si>
  <si>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</si>
  <si>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</si>
  <si>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</si>
  <si>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</si>
  <si>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</si>
  <si>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</si>
  <si>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</si>
  <si>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</si>
  <si>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</si>
  <si>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</si>
  <si>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</si>
  <si>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</si>
  <si>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</si>
  <si>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</si>
  <si>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</si>
  <si>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</si>
  <si>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</si>
  <si>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</si>
  <si>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</si>
  <si>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</si>
  <si>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</si>
  <si>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</si>
  <si>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</si>
  <si>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</si>
  <si>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</si>
  <si>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</si>
  <si>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</si>
  <si>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</si>
  <si>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</si>
  <si>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</si>
  <si>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</si>
  <si>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</si>
  <si>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</si>
  <si>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</si>
  <si>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</si>
  <si>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</si>
  <si>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</si>
  <si>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</si>
  <si>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</si>
  <si>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</si>
  <si>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</si>
  <si>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</si>
  <si>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</si>
  <si>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</si>
  <si>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</si>
  <si>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</si>
  <si>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</si>
  <si>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</si>
  <si>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</si>
  <si>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</si>
  <si>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</si>
  <si>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</si>
  <si>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</si>
  <si>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</si>
  <si>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</si>
  <si>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</si>
  <si>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</si>
  <si>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</si>
  <si>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</si>
  <si>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</si>
  <si>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</si>
  <si>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</si>
  <si>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</si>
  <si>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</si>
  <si>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</si>
  <si>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</si>
  <si>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</si>
  <si>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</si>
  <si>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</si>
  <si>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</si>
  <si>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</si>
  <si>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</si>
  <si>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</si>
  <si>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</si>
  <si>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</si>
  <si>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</si>
  <si>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</si>
  <si>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</si>
  <si>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</si>
  <si>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</si>
  <si>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</si>
  <si>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</si>
  <si>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</si>
  <si>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</si>
  <si>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</si>
  <si>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</si>
  <si>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</si>
  <si>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</si>
  <si>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</si>
  <si>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</si>
  <si>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</si>
  <si>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</si>
  <si>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</si>
  <si>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</si>
  <si>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</si>
  <si>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</si>
  <si>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</si>
  <si>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</si>
  <si>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</si>
  <si>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</si>
  <si>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</si>
  <si>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</si>
  <si>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</si>
  <si>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</si>
  <si>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</si>
  <si>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</si>
  <si>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</si>
  <si>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</si>
  <si>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</si>
  <si>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</si>
  <si>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</si>
  <si>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</si>
  <si>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</si>
  <si>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</si>
  <si>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</si>
  <si>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</si>
  <si>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</si>
  <si>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</si>
  <si>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</si>
  <si>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</si>
  <si>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</si>
  <si>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</si>
  <si>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</si>
  <si>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</si>
  <si>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</si>
  <si>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</si>
  <si>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</si>
  <si>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</si>
  <si>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</si>
  <si>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</si>
  <si>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</si>
  <si>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</si>
  <si>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</si>
  <si>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</si>
  <si>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</si>
  <si>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</si>
  <si>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</si>
  <si>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</si>
  <si>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</si>
  <si>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</si>
  <si>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</si>
  <si>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</si>
  <si>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</si>
  <si>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</si>
  <si>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</si>
  <si>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</si>
  <si>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</si>
  <si>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</si>
  <si>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</si>
  <si>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</si>
  <si>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</si>
  <si>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</si>
  <si>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</si>
  <si>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</si>
  <si>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</si>
  <si>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</si>
  <si>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</si>
  <si>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</si>
  <si>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</si>
  <si>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</si>
  <si>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</si>
  <si>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</si>
  <si>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</si>
  <si>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</si>
  <si>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</si>
  <si>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</si>
  <si>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</si>
  <si>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</si>
  <si>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</si>
  <si>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</si>
  <si>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</si>
  <si>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</si>
  <si>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</si>
  <si>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</si>
  <si>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</si>
  <si>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</si>
  <si>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</si>
  <si>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</si>
  <si>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</si>
  <si>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</si>
  <si>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</si>
  <si>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</si>
  <si>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</si>
  <si>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</si>
  <si>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</si>
  <si>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</si>
  <si>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</si>
  <si>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</si>
  <si>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</si>
  <si>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</si>
  <si>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</si>
  <si>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</si>
  <si>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</si>
  <si>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</si>
  <si>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</si>
  <si>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</si>
  <si>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</si>
  <si>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</si>
  <si>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</si>
  <si>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</si>
  <si>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</si>
  <si>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</si>
  <si>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</si>
  <si>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</si>
  <si>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</si>
  <si>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</si>
  <si>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</si>
  <si>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</si>
  <si>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</si>
  <si>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</si>
  <si>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</si>
  <si>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</si>
  <si>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</si>
  <si>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</si>
  <si>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</si>
  <si>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</si>
  <si>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</si>
  <si>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</si>
  <si>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</si>
  <si>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</si>
  <si>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</si>
  <si>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</si>
  <si>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</si>
  <si>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</si>
  <si>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</si>
  <si>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</si>
  <si>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</si>
  <si>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</si>
  <si>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</si>
  <si>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</si>
  <si>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</si>
  <si>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</si>
  <si>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</si>
  <si>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</si>
  <si>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</si>
  <si>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</si>
  <si>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</si>
  <si>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</si>
  <si>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</si>
  <si>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</si>
  <si>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</si>
  <si>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</si>
  <si>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</si>
  <si>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</si>
  <si>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</si>
  <si>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</si>
  <si>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</si>
  <si>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</si>
  <si>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</si>
  <si>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</si>
  <si>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</si>
  <si>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</si>
  <si>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</si>
  <si>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</si>
  <si>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</si>
  <si>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</si>
  <si>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</si>
  <si>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</si>
  <si>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</si>
  <si>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</si>
  <si>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</si>
  <si>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</si>
  <si>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</si>
  <si>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</si>
  <si>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</si>
  <si>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</si>
  <si>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</si>
  <si>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</si>
  <si>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</si>
  <si>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</si>
  <si>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</si>
  <si>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</si>
  <si>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</si>
  <si>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</si>
  <si>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</si>
  <si>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</si>
  <si>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</si>
  <si>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</si>
  <si>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</si>
  <si>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</si>
  <si>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</si>
  <si>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</si>
  <si>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</si>
  <si>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</si>
  <si>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</si>
  <si>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</si>
  <si>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</si>
  <si>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</si>
  <si>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</si>
  <si>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</si>
  <si>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</si>
  <si>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</si>
  <si>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</si>
  <si>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</si>
  <si>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</si>
  <si>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</si>
  <si>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</si>
  <si>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</si>
  <si>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</si>
  <si>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</si>
  <si>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</si>
  <si>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</si>
  <si>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</si>
  <si>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</si>
  <si>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</si>
  <si>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</si>
  <si>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</si>
  <si>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</si>
  <si>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</si>
  <si>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</si>
  <si>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</si>
  <si>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</si>
  <si>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</si>
  <si>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</si>
  <si>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</si>
  <si>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</si>
  <si>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</si>
  <si>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</si>
  <si>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</si>
  <si>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</si>
  <si>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</si>
  <si>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</si>
  <si>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</si>
  <si>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</si>
  <si>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</si>
  <si>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</si>
  <si>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</si>
  <si>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</si>
  <si>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</si>
  <si>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</si>
  <si>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</si>
  <si>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</si>
  <si>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</si>
  <si>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</si>
  <si>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</si>
  <si>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</si>
  <si>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</si>
  <si>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</si>
  <si>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</si>
  <si>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</si>
  <si>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</si>
  <si>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</si>
  <si>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</si>
  <si>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</si>
  <si>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</si>
  <si>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</si>
  <si>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</si>
  <si>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</si>
  <si>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</si>
  <si>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</si>
  <si>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</si>
  <si>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</si>
  <si>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</si>
  <si>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</si>
  <si>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</si>
  <si>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</si>
  <si>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</si>
  <si>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</si>
  <si>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</si>
  <si>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</si>
  <si>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</si>
  <si>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</si>
  <si>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</si>
  <si>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</si>
  <si>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</si>
  <si>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</si>
  <si>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</si>
  <si>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</si>
  <si>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</si>
  <si>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</si>
  <si>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</si>
  <si>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</si>
  <si>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</si>
  <si>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</si>
  <si>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</si>
  <si>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</si>
  <si>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</si>
  <si>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</si>
  <si>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</si>
  <si>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</si>
  <si>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</si>
  <si>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</si>
  <si>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</si>
  <si>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</si>
  <si>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</si>
  <si>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</si>
  <si>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</si>
  <si>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</si>
  <si>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</si>
  <si>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</si>
  <si>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</si>
  <si>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</si>
  <si>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</si>
  <si>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</si>
  <si>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</si>
  <si>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</si>
  <si>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</si>
  <si>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</si>
  <si>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</si>
  <si>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</si>
  <si>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</si>
  <si>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</si>
  <si>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</si>
  <si>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</si>
  <si>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</si>
  <si>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</si>
  <si>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</si>
  <si>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</si>
  <si>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</si>
  <si>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</si>
  <si>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</si>
  <si>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</si>
  <si>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</si>
  <si>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</si>
  <si>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</si>
  <si>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</si>
  <si>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</si>
  <si>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</si>
  <si>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</si>
  <si>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</si>
  <si>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</si>
  <si>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</si>
  <si>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</si>
  <si>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</si>
  <si>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</si>
  <si>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</si>
  <si>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</si>
  <si>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</si>
  <si>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</si>
  <si>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</si>
  <si>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</si>
  <si>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</si>
  <si>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</si>
  <si>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</si>
  <si>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</si>
  <si>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</si>
  <si>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</si>
  <si>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</si>
  <si>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</si>
  <si>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</si>
  <si>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</si>
  <si>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</si>
  <si>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</si>
  <si>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</si>
  <si>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</si>
  <si>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</si>
  <si>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</si>
  <si>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</si>
  <si>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</si>
  <si>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</si>
  <si>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</si>
  <si>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</si>
  <si>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</si>
  <si>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</si>
  <si>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</si>
  <si>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</si>
  <si>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</si>
  <si>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</si>
  <si>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</si>
  <si>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</si>
  <si>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</si>
  <si>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</si>
  <si>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</si>
  <si>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</si>
  <si>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</si>
  <si>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</si>
  <si>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</si>
  <si>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</si>
  <si>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</si>
  <si>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</si>
  <si>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</si>
  <si>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</si>
  <si>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</si>
  <si>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</si>
  <si>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</si>
  <si>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</si>
  <si>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</si>
  <si>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</si>
  <si>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</si>
  <si>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</si>
  <si>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</si>
  <si>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</si>
  <si>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</si>
  <si>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</si>
  <si>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</si>
  <si>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</si>
  <si>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</si>
  <si>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</si>
  <si>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</si>
  <si>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</si>
  <si>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</si>
  <si>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</si>
  <si>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</si>
  <si>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</si>
  <si>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</si>
  <si>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</si>
  <si>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</si>
  <si>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</si>
  <si>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</si>
  <si>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</si>
  <si>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</si>
  <si>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</si>
  <si>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</si>
  <si>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</si>
  <si>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</si>
  <si>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</si>
  <si>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</si>
  <si>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</si>
  <si>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</si>
  <si>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</si>
  <si>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</si>
  <si>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</si>
  <si>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</si>
  <si>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</si>
  <si>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</si>
  <si>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</si>
  <si>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</si>
  <si>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</si>
  <si>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</si>
  <si>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</si>
  <si>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</si>
  <si>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</si>
  <si>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</si>
  <si>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</si>
  <si>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</si>
  <si>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</si>
  <si>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</si>
  <si>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</si>
  <si>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</si>
  <si>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</si>
  <si>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</si>
  <si>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</si>
  <si>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</si>
  <si>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</si>
  <si>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</si>
  <si>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</si>
  <si>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</si>
  <si>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</si>
  <si>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</si>
  <si>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</si>
  <si>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</si>
  <si>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</si>
  <si>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</si>
  <si>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</si>
  <si>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</si>
  <si>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</si>
  <si>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</si>
  <si>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</si>
  <si>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</si>
  <si>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</si>
  <si>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</si>
  <si>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</si>
  <si>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</si>
  <si>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</si>
  <si>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</si>
  <si>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</si>
  <si>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</si>
  <si>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</si>
  <si>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</si>
  <si>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</si>
  <si>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</si>
  <si>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</si>
  <si>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</si>
  <si>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</si>
  <si>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</si>
  <si>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</si>
  <si>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</si>
  <si>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</si>
  <si>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</si>
  <si>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</si>
  <si>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</si>
  <si>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</si>
  <si>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</si>
  <si>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</si>
  <si>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</si>
  <si>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</si>
  <si>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</si>
  <si>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</si>
  <si>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</si>
  <si>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</si>
  <si>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</si>
  <si>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</si>
  <si>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</si>
  <si>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</si>
  <si>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</si>
  <si>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</si>
  <si>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</si>
  <si>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</si>
  <si>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</si>
  <si>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</si>
  <si>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</si>
  <si>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</si>
  <si>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</si>
  <si>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</si>
  <si>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</si>
  <si>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</si>
  <si>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</si>
  <si>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</si>
  <si>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</si>
  <si>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</si>
  <si>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</si>
  <si>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</si>
  <si>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</si>
  <si>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</si>
  <si>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</si>
  <si>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</si>
  <si>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</si>
  <si>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</si>
  <si>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</si>
  <si>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</si>
  <si>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</si>
  <si>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</si>
  <si>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</si>
  <si>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</si>
  <si>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</si>
  <si>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</si>
  <si>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</si>
  <si>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</si>
  <si>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</si>
  <si>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</si>
  <si>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</si>
  <si>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</si>
  <si>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</si>
  <si>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</si>
  <si>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</si>
  <si>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</si>
  <si>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</si>
  <si>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</si>
  <si>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</si>
  <si>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</si>
  <si>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</si>
  <si>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</si>
  <si>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</si>
  <si>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</si>
  <si>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</si>
  <si>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</si>
  <si>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</si>
  <si>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</si>
  <si>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</si>
  <si>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</si>
  <si>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</si>
  <si>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</si>
  <si>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</si>
  <si>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</si>
  <si>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</si>
  <si>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</si>
  <si>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</si>
  <si>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</si>
  <si>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</si>
  <si>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</si>
  <si>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</si>
  <si>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</si>
  <si>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</si>
  <si>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</si>
  <si>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</si>
  <si>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</si>
  <si>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</si>
  <si>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</si>
  <si>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</si>
  <si>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</si>
  <si>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</si>
  <si>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</si>
  <si>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</si>
  <si>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</si>
  <si>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</si>
  <si>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</si>
  <si>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</si>
  <si>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</si>
  <si>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</si>
  <si>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</si>
  <si>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</si>
  <si>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</si>
  <si>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</si>
  <si>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</si>
  <si>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</si>
  <si>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</si>
  <si>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</si>
  <si>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</si>
  <si>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</si>
  <si>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</si>
  <si>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</si>
  <si>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</si>
  <si>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</si>
  <si>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</si>
  <si>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</si>
  <si>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</si>
  <si>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</si>
  <si>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</si>
  <si>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</si>
  <si>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</si>
  <si>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</si>
  <si>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</si>
  <si>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</si>
  <si>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</si>
  <si>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</si>
  <si>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</si>
  <si>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</si>
  <si>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</si>
  <si>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</si>
  <si>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</si>
  <si>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</si>
  <si>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</si>
  <si>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</si>
  <si>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</si>
  <si>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</si>
  <si>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</si>
  <si>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</si>
  <si>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</si>
  <si>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</si>
  <si>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</si>
  <si>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</si>
  <si>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</si>
  <si>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</si>
  <si>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</si>
  <si>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</si>
  <si>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</si>
  <si>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</si>
  <si>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</si>
  <si>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</si>
  <si>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</si>
  <si>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</si>
  <si>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</si>
  <si>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</si>
  <si>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</si>
  <si>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</si>
  <si>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</si>
  <si>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</si>
  <si>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</si>
  <si>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</si>
  <si>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</si>
  <si>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</si>
  <si>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</si>
  <si>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</si>
  <si>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</si>
  <si>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</si>
  <si>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</si>
  <si>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</si>
  <si>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</si>
  <si>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</si>
  <si>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</si>
  <si>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</si>
  <si>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</si>
  <si>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</si>
  <si>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</si>
  <si>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</si>
  <si>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</si>
  <si>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</si>
  <si>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</si>
  <si>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</si>
  <si>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</si>
  <si>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</si>
  <si>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</si>
  <si>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</si>
  <si>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</si>
  <si>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</si>
  <si>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</si>
  <si>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</si>
  <si>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</si>
  <si>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</si>
  <si>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</si>
  <si>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</si>
  <si>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</si>
  <si>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</si>
  <si>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</si>
  <si>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</si>
  <si>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</si>
  <si>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</si>
  <si>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</si>
  <si>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</si>
  <si>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</si>
  <si>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</si>
  <si>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</si>
  <si>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</si>
  <si>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</si>
  <si>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</si>
  <si>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</si>
  <si>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</si>
  <si>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</si>
  <si>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</si>
  <si>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</si>
  <si>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</si>
  <si>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</si>
  <si>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</si>
  <si>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</si>
  <si>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</si>
  <si>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</si>
  <si>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</si>
  <si>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</si>
  <si>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</si>
  <si>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</si>
  <si>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</si>
  <si>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</si>
  <si>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</si>
  <si>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</si>
  <si>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</si>
  <si>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</si>
  <si>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</si>
  <si>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</si>
  <si>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</si>
  <si>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</si>
  <si>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</si>
  <si>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</si>
  <si>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</si>
  <si>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</si>
  <si>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</si>
  <si>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</si>
  <si>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</si>
  <si>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</si>
  <si>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</si>
  <si>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</si>
  <si>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</si>
  <si>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</si>
  <si>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</si>
  <si>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</si>
  <si>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</si>
  <si>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</si>
  <si>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</si>
  <si>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</si>
  <si>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</si>
  <si>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</si>
  <si>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</si>
  <si>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</si>
  <si>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</si>
  <si>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</si>
  <si>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</si>
  <si>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</si>
  <si>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</si>
  <si>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</si>
  <si>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</si>
  <si>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</si>
  <si>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</si>
  <si>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</si>
  <si>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</si>
  <si>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</si>
  <si>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</si>
  <si>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</si>
  <si>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</si>
  <si>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</si>
  <si>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</si>
  <si>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</si>
  <si>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</si>
  <si>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</si>
  <si>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</si>
  <si>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</si>
  <si>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</si>
  <si>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</si>
  <si>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</si>
  <si>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</si>
  <si>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</si>
  <si>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</si>
  <si>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</si>
  <si>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</si>
  <si>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</si>
  <si>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</si>
  <si>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</si>
  <si>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</si>
  <si>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</si>
  <si>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</si>
  <si>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</si>
  <si>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</si>
  <si>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</si>
  <si>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</si>
  <si>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</si>
  <si>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</si>
  <si>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</si>
  <si>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</si>
  <si>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</si>
  <si>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</si>
  <si>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</si>
  <si>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</si>
  <si>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</si>
  <si>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</si>
  <si>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</si>
  <si>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</si>
  <si>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</si>
  <si>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</si>
  <si>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</si>
  <si>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</si>
  <si>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</si>
  <si>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</si>
  <si>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</si>
  <si>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</si>
  <si>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</si>
  <si>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</si>
  <si>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</si>
  <si>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</si>
  <si>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</si>
  <si>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</si>
  <si>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</si>
  <si>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</si>
  <si>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</si>
  <si>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</si>
  <si>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</si>
  <si>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</si>
  <si>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</si>
  <si>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</si>
  <si>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</si>
  <si>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</si>
  <si>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</si>
  <si>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</si>
  <si>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</si>
  <si>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</si>
  <si>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</si>
  <si>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</si>
  <si>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</si>
  <si>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</si>
  <si>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</si>
  <si>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</si>
  <si>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</si>
  <si>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</si>
  <si>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</si>
  <si>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</si>
  <si>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</si>
  <si>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</si>
  <si>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</si>
  <si>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</si>
  <si>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</si>
  <si>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</si>
  <si>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</si>
  <si>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</si>
  <si>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</si>
  <si>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</si>
  <si>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</si>
  <si>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</si>
  <si>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</si>
  <si>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</si>
  <si>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</si>
  <si>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</si>
  <si>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</si>
  <si>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</si>
  <si>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</si>
  <si>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72038</t>
  </si>
  <si>
    <t>HECHTEL-EKSEL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</si>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</sst>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72038</v>
      </c>
      <c r="B6" s="397"/>
      <c r="C6" s="398"/>
    </row>
    <row r="7" spans="1:7" s="395" customFormat="1" ht="15.75" customHeight="1">
      <c r="A7" s="399" t="str">
        <f>txtMunicipality</f>
        <v>HECHTEL-EKSEL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8707.5209999999988</v>
      </c>
      <c r="D10" s="688">
        <f ca="1">tertiair!C16</f>
        <v>0</v>
      </c>
      <c r="E10" s="688">
        <f ca="1">tertiair!D16</f>
        <v>3680.3070260000004</v>
      </c>
      <c r="F10" s="688">
        <f>tertiair!E16</f>
        <v>85.379341848432759</v>
      </c>
      <c r="G10" s="688">
        <f ca="1">tertiair!F16</f>
        <v>1630.49820573897</v>
      </c>
      <c r="H10" s="688">
        <f>tertiair!G16</f>
        <v>0</v>
      </c>
      <c r="I10" s="688">
        <f>tertiair!H16</f>
        <v>0</v>
      </c>
      <c r="J10" s="688">
        <f>tertiair!I16</f>
        <v>0</v>
      </c>
      <c r="K10" s="688">
        <f>tertiair!J16</f>
        <v>0</v>
      </c>
      <c r="L10" s="688">
        <f>tertiair!K16</f>
        <v>0</v>
      </c>
      <c r="M10" s="688">
        <f ca="1">tertiair!L16</f>
        <v>0</v>
      </c>
      <c r="N10" s="688">
        <f>tertiair!M16</f>
        <v>0</v>
      </c>
      <c r="O10" s="688">
        <f ca="1">tertiair!N16</f>
        <v>531.26947128787515</v>
      </c>
      <c r="P10" s="688">
        <f>tertiair!O16</f>
        <v>0</v>
      </c>
      <c r="Q10" s="689">
        <f>tertiair!P16</f>
        <v>0</v>
      </c>
      <c r="R10" s="691">
        <f ca="1">SUM(C10:Q10)</f>
        <v>14634.975044875277</v>
      </c>
      <c r="S10" s="68"/>
    </row>
    <row r="11" spans="1:19" s="457" customFormat="1">
      <c r="A11" s="803" t="s">
        <v>225</v>
      </c>
      <c r="B11" s="808"/>
      <c r="C11" s="688">
        <f>huishoudens!B8</f>
        <v>23885.953559964088</v>
      </c>
      <c r="D11" s="688">
        <f>huishoudens!C8</f>
        <v>0</v>
      </c>
      <c r="E11" s="688">
        <f>huishoudens!D8</f>
        <v>32057.689752000002</v>
      </c>
      <c r="F11" s="688">
        <f>huishoudens!E8</f>
        <v>4591.7977724533657</v>
      </c>
      <c r="G11" s="688">
        <f>huishoudens!F8</f>
        <v>32278.658790414556</v>
      </c>
      <c r="H11" s="688">
        <f>huishoudens!G8</f>
        <v>0</v>
      </c>
      <c r="I11" s="688">
        <f>huishoudens!H8</f>
        <v>0</v>
      </c>
      <c r="J11" s="688">
        <f>huishoudens!I8</f>
        <v>0</v>
      </c>
      <c r="K11" s="688">
        <f>huishoudens!J8</f>
        <v>0</v>
      </c>
      <c r="L11" s="688">
        <f>huishoudens!K8</f>
        <v>0</v>
      </c>
      <c r="M11" s="688">
        <f>huishoudens!L8</f>
        <v>0</v>
      </c>
      <c r="N11" s="688">
        <f>huishoudens!M8</f>
        <v>0</v>
      </c>
      <c r="O11" s="688">
        <f>huishoudens!N8</f>
        <v>14071.942164727734</v>
      </c>
      <c r="P11" s="688">
        <f>huishoudens!O8</f>
        <v>84.42</v>
      </c>
      <c r="Q11" s="689">
        <f>huishoudens!P8</f>
        <v>305.06666666666666</v>
      </c>
      <c r="R11" s="691">
        <f>SUM(C11:Q11)</f>
        <v>107275.5287062264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3083.6789999999996</v>
      </c>
      <c r="D13" s="688">
        <f>industrie!C18</f>
        <v>0</v>
      </c>
      <c r="E13" s="688">
        <f>industrie!D18</f>
        <v>2133.0703459999995</v>
      </c>
      <c r="F13" s="688">
        <f>industrie!E18</f>
        <v>23.457701966977627</v>
      </c>
      <c r="G13" s="688">
        <f>industrie!F18</f>
        <v>1385.1582060376932</v>
      </c>
      <c r="H13" s="688">
        <f>industrie!G18</f>
        <v>0</v>
      </c>
      <c r="I13" s="688">
        <f>industrie!H18</f>
        <v>0</v>
      </c>
      <c r="J13" s="688">
        <f>industrie!I18</f>
        <v>0</v>
      </c>
      <c r="K13" s="688">
        <f>industrie!J18</f>
        <v>18.163395028771589</v>
      </c>
      <c r="L13" s="688">
        <f>industrie!K18</f>
        <v>0</v>
      </c>
      <c r="M13" s="688">
        <f>industrie!L18</f>
        <v>0</v>
      </c>
      <c r="N13" s="688">
        <f>industrie!M18</f>
        <v>0</v>
      </c>
      <c r="O13" s="688">
        <f>industrie!N18</f>
        <v>126.19328910462129</v>
      </c>
      <c r="P13" s="688">
        <f>industrie!O18</f>
        <v>0</v>
      </c>
      <c r="Q13" s="689">
        <f>industrie!P18</f>
        <v>0</v>
      </c>
      <c r="R13" s="691">
        <f>SUM(C13:Q13)</f>
        <v>6769.7219381380628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35677.153559964085</v>
      </c>
      <c r="D16" s="721">
        <f t="shared" ref="D16:R16" ca="1" si="0">SUM(D9:D15)</f>
        <v>0</v>
      </c>
      <c r="E16" s="721">
        <f t="shared" ca="1" si="0"/>
        <v>37871.067124000001</v>
      </c>
      <c r="F16" s="721">
        <f t="shared" si="0"/>
        <v>4700.6348162687764</v>
      </c>
      <c r="G16" s="721">
        <f t="shared" ca="1" si="0"/>
        <v>35294.315202191225</v>
      </c>
      <c r="H16" s="721">
        <f t="shared" si="0"/>
        <v>0</v>
      </c>
      <c r="I16" s="721">
        <f t="shared" si="0"/>
        <v>0</v>
      </c>
      <c r="J16" s="721">
        <f t="shared" si="0"/>
        <v>0</v>
      </c>
      <c r="K16" s="721">
        <f t="shared" si="0"/>
        <v>18.163395028771589</v>
      </c>
      <c r="L16" s="721">
        <f t="shared" si="0"/>
        <v>0</v>
      </c>
      <c r="M16" s="721">
        <f t="shared" ca="1" si="0"/>
        <v>0</v>
      </c>
      <c r="N16" s="721">
        <f t="shared" si="0"/>
        <v>0</v>
      </c>
      <c r="O16" s="721">
        <f t="shared" ca="1" si="0"/>
        <v>14729.40492512023</v>
      </c>
      <c r="P16" s="721">
        <f t="shared" si="0"/>
        <v>84.42</v>
      </c>
      <c r="Q16" s="721">
        <f t="shared" si="0"/>
        <v>305.06666666666666</v>
      </c>
      <c r="R16" s="721">
        <f t="shared" ca="1" si="0"/>
        <v>128680.22568923973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2265.7702610481856</v>
      </c>
      <c r="I19" s="688">
        <f>transport!H54</f>
        <v>0</v>
      </c>
      <c r="J19" s="688">
        <f>transport!I54</f>
        <v>0</v>
      </c>
      <c r="K19" s="688">
        <f>transport!J54</f>
        <v>0</v>
      </c>
      <c r="L19" s="688">
        <f>transport!K54</f>
        <v>0</v>
      </c>
      <c r="M19" s="688">
        <f>transport!L54</f>
        <v>0</v>
      </c>
      <c r="N19" s="688">
        <f>transport!M54</f>
        <v>99.493709784463746</v>
      </c>
      <c r="O19" s="688">
        <f>transport!N54</f>
        <v>0</v>
      </c>
      <c r="P19" s="688">
        <f>transport!O54</f>
        <v>0</v>
      </c>
      <c r="Q19" s="689">
        <f>transport!P54</f>
        <v>0</v>
      </c>
      <c r="R19" s="691">
        <f>SUM(C19:Q19)</f>
        <v>2365.2639708326492</v>
      </c>
      <c r="S19" s="68"/>
    </row>
    <row r="20" spans="1:19" s="457" customFormat="1">
      <c r="A20" s="803" t="s">
        <v>307</v>
      </c>
      <c r="B20" s="808"/>
      <c r="C20" s="688">
        <f>transport!B14</f>
        <v>2.7355716748884689</v>
      </c>
      <c r="D20" s="688">
        <f>transport!C14</f>
        <v>0</v>
      </c>
      <c r="E20" s="688">
        <f>transport!D14</f>
        <v>7.0572146435682939</v>
      </c>
      <c r="F20" s="688">
        <f>transport!E14</f>
        <v>414.14621848326084</v>
      </c>
      <c r="G20" s="688">
        <f>transport!F14</f>
        <v>0</v>
      </c>
      <c r="H20" s="688">
        <f>transport!G14</f>
        <v>89712.99207432344</v>
      </c>
      <c r="I20" s="688">
        <f>transport!H14</f>
        <v>15779.174640916557</v>
      </c>
      <c r="J20" s="688">
        <f>transport!I14</f>
        <v>0</v>
      </c>
      <c r="K20" s="688">
        <f>transport!J14</f>
        <v>0</v>
      </c>
      <c r="L20" s="688">
        <f>transport!K14</f>
        <v>0</v>
      </c>
      <c r="M20" s="688">
        <f>transport!L14</f>
        <v>0</v>
      </c>
      <c r="N20" s="688">
        <f>transport!M14</f>
        <v>4716.7397867356985</v>
      </c>
      <c r="O20" s="688">
        <f>transport!N14</f>
        <v>0</v>
      </c>
      <c r="P20" s="688">
        <f>transport!O14</f>
        <v>0</v>
      </c>
      <c r="Q20" s="689">
        <f>transport!P14</f>
        <v>0</v>
      </c>
      <c r="R20" s="691">
        <f>SUM(C20:Q20)</f>
        <v>110632.84550677742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2.7355716748884689</v>
      </c>
      <c r="D22" s="806">
        <f t="shared" ref="D22:R22" si="1">SUM(D18:D21)</f>
        <v>0</v>
      </c>
      <c r="E22" s="806">
        <f t="shared" si="1"/>
        <v>7.0572146435682939</v>
      </c>
      <c r="F22" s="806">
        <f t="shared" si="1"/>
        <v>414.14621848326084</v>
      </c>
      <c r="G22" s="806">
        <f t="shared" si="1"/>
        <v>0</v>
      </c>
      <c r="H22" s="806">
        <f t="shared" si="1"/>
        <v>91978.762335371619</v>
      </c>
      <c r="I22" s="806">
        <f t="shared" si="1"/>
        <v>15779.174640916557</v>
      </c>
      <c r="J22" s="806">
        <f t="shared" si="1"/>
        <v>0</v>
      </c>
      <c r="K22" s="806">
        <f t="shared" si="1"/>
        <v>0</v>
      </c>
      <c r="L22" s="806">
        <f t="shared" si="1"/>
        <v>0</v>
      </c>
      <c r="M22" s="806">
        <f t="shared" si="1"/>
        <v>0</v>
      </c>
      <c r="N22" s="806">
        <f t="shared" si="1"/>
        <v>4816.2334965201626</v>
      </c>
      <c r="O22" s="806">
        <f t="shared" si="1"/>
        <v>0</v>
      </c>
      <c r="P22" s="806">
        <f t="shared" si="1"/>
        <v>0</v>
      </c>
      <c r="Q22" s="806">
        <f t="shared" si="1"/>
        <v>0</v>
      </c>
      <c r="R22" s="806">
        <f t="shared" si="1"/>
        <v>112998.10947761007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494.202</v>
      </c>
      <c r="D24" s="688">
        <f>+landbouw!C8</f>
        <v>0</v>
      </c>
      <c r="E24" s="688">
        <f>+landbouw!D8</f>
        <v>866.07063400000004</v>
      </c>
      <c r="F24" s="688">
        <f>+landbouw!E8</f>
        <v>4.6557139662019642</v>
      </c>
      <c r="G24" s="688">
        <f>+landbouw!F8</f>
        <v>1612.7451372397977</v>
      </c>
      <c r="H24" s="688">
        <f>+landbouw!G8</f>
        <v>0</v>
      </c>
      <c r="I24" s="688">
        <f>+landbouw!H8</f>
        <v>0</v>
      </c>
      <c r="J24" s="688">
        <f>+landbouw!I8</f>
        <v>0</v>
      </c>
      <c r="K24" s="688">
        <f>+landbouw!J8</f>
        <v>61.135191198066238</v>
      </c>
      <c r="L24" s="688">
        <f>+landbouw!K8</f>
        <v>0</v>
      </c>
      <c r="M24" s="688">
        <f>+landbouw!L8</f>
        <v>0</v>
      </c>
      <c r="N24" s="688">
        <f>+landbouw!M8</f>
        <v>0</v>
      </c>
      <c r="O24" s="688">
        <f>+landbouw!N8</f>
        <v>0</v>
      </c>
      <c r="P24" s="688">
        <f>+landbouw!O8</f>
        <v>0</v>
      </c>
      <c r="Q24" s="689">
        <f>+landbouw!P8</f>
        <v>0</v>
      </c>
      <c r="R24" s="691">
        <f>SUM(C24:Q24)</f>
        <v>3038.8086764040663</v>
      </c>
      <c r="S24" s="68"/>
    </row>
    <row r="25" spans="1:19" s="457" customFormat="1" ht="15" thickBot="1">
      <c r="A25" s="825" t="s">
        <v>912</v>
      </c>
      <c r="B25" s="1001"/>
      <c r="C25" s="1002">
        <f>IF(Onbekend_ele_kWh="---",0,Onbekend_ele_kWh)/1000+IF(REST_rest_ele_kWh="---",0,REST_rest_ele_kWh)/1000</f>
        <v>415.09699999999998</v>
      </c>
      <c r="D25" s="1002"/>
      <c r="E25" s="1002">
        <f>IF(onbekend_gas_kWh="---",0,onbekend_gas_kWh)/1000+IF(REST_rest_gas_kWh="---",0,REST_rest_gas_kWh)/1000</f>
        <v>884.70500000000004</v>
      </c>
      <c r="F25" s="1002"/>
      <c r="G25" s="1002"/>
      <c r="H25" s="1002"/>
      <c r="I25" s="1002"/>
      <c r="J25" s="1002"/>
      <c r="K25" s="1002"/>
      <c r="L25" s="1002"/>
      <c r="M25" s="1002"/>
      <c r="N25" s="1002"/>
      <c r="O25" s="1002"/>
      <c r="P25" s="1002"/>
      <c r="Q25" s="1003"/>
      <c r="R25" s="691">
        <f>SUM(C25:Q25)</f>
        <v>1299.8020000000001</v>
      </c>
      <c r="S25" s="68"/>
    </row>
    <row r="26" spans="1:19" s="457" customFormat="1" ht="15.75" thickBot="1">
      <c r="A26" s="694" t="s">
        <v>913</v>
      </c>
      <c r="B26" s="811"/>
      <c r="C26" s="806">
        <f>SUM(C24:C25)</f>
        <v>909.29899999999998</v>
      </c>
      <c r="D26" s="806">
        <f t="shared" ref="D26:R26" si="2">SUM(D24:D25)</f>
        <v>0</v>
      </c>
      <c r="E26" s="806">
        <f t="shared" si="2"/>
        <v>1750.7756340000001</v>
      </c>
      <c r="F26" s="806">
        <f t="shared" si="2"/>
        <v>4.6557139662019642</v>
      </c>
      <c r="G26" s="806">
        <f t="shared" si="2"/>
        <v>1612.7451372397977</v>
      </c>
      <c r="H26" s="806">
        <f t="shared" si="2"/>
        <v>0</v>
      </c>
      <c r="I26" s="806">
        <f t="shared" si="2"/>
        <v>0</v>
      </c>
      <c r="J26" s="806">
        <f t="shared" si="2"/>
        <v>0</v>
      </c>
      <c r="K26" s="806">
        <f t="shared" si="2"/>
        <v>61.135191198066238</v>
      </c>
      <c r="L26" s="806">
        <f t="shared" si="2"/>
        <v>0</v>
      </c>
      <c r="M26" s="806">
        <f t="shared" si="2"/>
        <v>0</v>
      </c>
      <c r="N26" s="806">
        <f t="shared" si="2"/>
        <v>0</v>
      </c>
      <c r="O26" s="806">
        <f t="shared" si="2"/>
        <v>0</v>
      </c>
      <c r="P26" s="806">
        <f t="shared" si="2"/>
        <v>0</v>
      </c>
      <c r="Q26" s="806">
        <f t="shared" si="2"/>
        <v>0</v>
      </c>
      <c r="R26" s="806">
        <f t="shared" si="2"/>
        <v>4338.6106764040669</v>
      </c>
      <c r="S26" s="68"/>
    </row>
    <row r="27" spans="1:19" s="457" customFormat="1" ht="17.25" thickTop="1" thickBot="1">
      <c r="A27" s="695" t="s">
        <v>116</v>
      </c>
      <c r="B27" s="798"/>
      <c r="C27" s="696">
        <f ca="1">C22+C16+C26</f>
        <v>36589.18813163897</v>
      </c>
      <c r="D27" s="696">
        <f t="shared" ref="D27:R27" ca="1" si="3">D22+D16+D26</f>
        <v>0</v>
      </c>
      <c r="E27" s="696">
        <f t="shared" ca="1" si="3"/>
        <v>39628.899972643565</v>
      </c>
      <c r="F27" s="696">
        <f t="shared" si="3"/>
        <v>5119.436748718239</v>
      </c>
      <c r="G27" s="696">
        <f t="shared" ca="1" si="3"/>
        <v>36907.060339431024</v>
      </c>
      <c r="H27" s="696">
        <f t="shared" si="3"/>
        <v>91978.762335371619</v>
      </c>
      <c r="I27" s="696">
        <f t="shared" si="3"/>
        <v>15779.174640916557</v>
      </c>
      <c r="J27" s="696">
        <f t="shared" si="3"/>
        <v>0</v>
      </c>
      <c r="K27" s="696">
        <f t="shared" si="3"/>
        <v>79.298586226837827</v>
      </c>
      <c r="L27" s="696">
        <f t="shared" si="3"/>
        <v>0</v>
      </c>
      <c r="M27" s="696">
        <f t="shared" ca="1" si="3"/>
        <v>0</v>
      </c>
      <c r="N27" s="696">
        <f t="shared" si="3"/>
        <v>4816.2334965201626</v>
      </c>
      <c r="O27" s="696">
        <f t="shared" ca="1" si="3"/>
        <v>14729.40492512023</v>
      </c>
      <c r="P27" s="696">
        <f t="shared" si="3"/>
        <v>84.42</v>
      </c>
      <c r="Q27" s="696">
        <f t="shared" si="3"/>
        <v>305.06666666666666</v>
      </c>
      <c r="R27" s="696">
        <f t="shared" ca="1" si="3"/>
        <v>246016.94584325384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1673.1889084157528</v>
      </c>
      <c r="D40" s="688">
        <f ca="1">tertiair!C20</f>
        <v>0</v>
      </c>
      <c r="E40" s="688">
        <f ca="1">tertiair!D20</f>
        <v>743.42201925200015</v>
      </c>
      <c r="F40" s="688">
        <f>tertiair!E20</f>
        <v>19.381110599594237</v>
      </c>
      <c r="G40" s="688">
        <f ca="1">tertiair!F20</f>
        <v>435.34302093230502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2871.3350591996523</v>
      </c>
    </row>
    <row r="41" spans="1:18">
      <c r="A41" s="816" t="s">
        <v>225</v>
      </c>
      <c r="B41" s="823"/>
      <c r="C41" s="688">
        <f ca="1">huishoudens!B12</f>
        <v>4589.7922684844143</v>
      </c>
      <c r="D41" s="688">
        <f ca="1">huishoudens!C12</f>
        <v>0</v>
      </c>
      <c r="E41" s="688">
        <f>huishoudens!D12</f>
        <v>6475.6533299040011</v>
      </c>
      <c r="F41" s="688">
        <f>huishoudens!E12</f>
        <v>1042.338094346914</v>
      </c>
      <c r="G41" s="688">
        <f>huishoudens!F12</f>
        <v>8618.4018970406869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20726.185589776018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592.54264214976683</v>
      </c>
      <c r="D43" s="688">
        <f ca="1">industrie!C22</f>
        <v>0</v>
      </c>
      <c r="E43" s="688">
        <f>industrie!D22</f>
        <v>430.88020989199993</v>
      </c>
      <c r="F43" s="688">
        <f>industrie!E22</f>
        <v>5.3248983465039217</v>
      </c>
      <c r="G43" s="688">
        <f>industrie!F22</f>
        <v>369.83724101206411</v>
      </c>
      <c r="H43" s="688">
        <f>industrie!G22</f>
        <v>0</v>
      </c>
      <c r="I43" s="688">
        <f>industrie!H22</f>
        <v>0</v>
      </c>
      <c r="J43" s="688">
        <f>industrie!I22</f>
        <v>0</v>
      </c>
      <c r="K43" s="688">
        <f>industrie!J22</f>
        <v>6.4298418401851425</v>
      </c>
      <c r="L43" s="688">
        <f>industrie!K22</f>
        <v>0</v>
      </c>
      <c r="M43" s="688">
        <f>industrie!L22</f>
        <v>0</v>
      </c>
      <c r="N43" s="688">
        <f>industrie!M22</f>
        <v>0</v>
      </c>
      <c r="O43" s="688">
        <f>industrie!N22</f>
        <v>0</v>
      </c>
      <c r="P43" s="688">
        <f>industrie!O22</f>
        <v>0</v>
      </c>
      <c r="Q43" s="763">
        <f>industrie!P22</f>
        <v>0</v>
      </c>
      <c r="R43" s="843">
        <f t="shared" ca="1" si="4"/>
        <v>1405.0148332405201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6855.523819049934</v>
      </c>
      <c r="D46" s="721">
        <f t="shared" ref="D46:Q46" ca="1" si="5">SUM(D39:D45)</f>
        <v>0</v>
      </c>
      <c r="E46" s="721">
        <f t="shared" ca="1" si="5"/>
        <v>7649.9555590480004</v>
      </c>
      <c r="F46" s="721">
        <f t="shared" si="5"/>
        <v>1067.0441032930121</v>
      </c>
      <c r="G46" s="721">
        <f t="shared" ca="1" si="5"/>
        <v>9423.5821589850566</v>
      </c>
      <c r="H46" s="721">
        <f t="shared" si="5"/>
        <v>0</v>
      </c>
      <c r="I46" s="721">
        <f t="shared" si="5"/>
        <v>0</v>
      </c>
      <c r="J46" s="721">
        <f t="shared" si="5"/>
        <v>0</v>
      </c>
      <c r="K46" s="721">
        <f t="shared" si="5"/>
        <v>6.4298418401851425</v>
      </c>
      <c r="L46" s="721">
        <f t="shared" si="5"/>
        <v>0</v>
      </c>
      <c r="M46" s="721">
        <f t="shared" ca="1" si="5"/>
        <v>0</v>
      </c>
      <c r="N46" s="721">
        <f t="shared" si="5"/>
        <v>0</v>
      </c>
      <c r="O46" s="721">
        <f t="shared" ca="1" si="5"/>
        <v>0</v>
      </c>
      <c r="P46" s="721">
        <f t="shared" si="5"/>
        <v>0</v>
      </c>
      <c r="Q46" s="721">
        <f t="shared" si="5"/>
        <v>0</v>
      </c>
      <c r="R46" s="721">
        <f ca="1">SUM(R39:R45)</f>
        <v>25002.53548221619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604.96065969986557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604.96065969986557</v>
      </c>
    </row>
    <row r="50" spans="1:18">
      <c r="A50" s="819" t="s">
        <v>307</v>
      </c>
      <c r="B50" s="829"/>
      <c r="C50" s="1008">
        <f ca="1">transport!B18</f>
        <v>0.52565227056009278</v>
      </c>
      <c r="D50" s="1008">
        <f>transport!C18</f>
        <v>0</v>
      </c>
      <c r="E50" s="1008">
        <f>transport!D18</f>
        <v>1.4255573580007954</v>
      </c>
      <c r="F50" s="1008">
        <f>transport!E18</f>
        <v>94.011191595700211</v>
      </c>
      <c r="G50" s="1008">
        <f>transport!F18</f>
        <v>0</v>
      </c>
      <c r="H50" s="1008">
        <f>transport!G18</f>
        <v>23953.36888384436</v>
      </c>
      <c r="I50" s="1008">
        <f>transport!H18</f>
        <v>3929.0144855882227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27978.345770656844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0.52565227056009278</v>
      </c>
      <c r="D52" s="721">
        <f t="shared" ref="D52:Q52" ca="1" si="6">SUM(D48:D51)</f>
        <v>0</v>
      </c>
      <c r="E52" s="721">
        <f t="shared" si="6"/>
        <v>1.4255573580007954</v>
      </c>
      <c r="F52" s="721">
        <f t="shared" si="6"/>
        <v>94.011191595700211</v>
      </c>
      <c r="G52" s="721">
        <f t="shared" si="6"/>
        <v>0</v>
      </c>
      <c r="H52" s="721">
        <f t="shared" si="6"/>
        <v>24558.329543544227</v>
      </c>
      <c r="I52" s="721">
        <f t="shared" si="6"/>
        <v>3929.0144855882227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28583.306430356708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94.963113487395773</v>
      </c>
      <c r="D54" s="1008">
        <f ca="1">+landbouw!C12</f>
        <v>0</v>
      </c>
      <c r="E54" s="1008">
        <f>+landbouw!D12</f>
        <v>174.94626806800002</v>
      </c>
      <c r="F54" s="1008">
        <f>+landbouw!E12</f>
        <v>1.0568470703278459</v>
      </c>
      <c r="G54" s="1008">
        <f>+landbouw!F12</f>
        <v>430.60295164302602</v>
      </c>
      <c r="H54" s="1008">
        <f>+landbouw!G12</f>
        <v>0</v>
      </c>
      <c r="I54" s="1008">
        <f>+landbouw!H12</f>
        <v>0</v>
      </c>
      <c r="J54" s="1008">
        <f>+landbouw!I12</f>
        <v>0</v>
      </c>
      <c r="K54" s="1008">
        <f>+landbouw!J12</f>
        <v>21.641857684115447</v>
      </c>
      <c r="L54" s="1008">
        <f>+landbouw!K12</f>
        <v>0</v>
      </c>
      <c r="M54" s="1008">
        <f>+landbouw!L12</f>
        <v>0</v>
      </c>
      <c r="N54" s="1008">
        <f>+landbouw!M12</f>
        <v>0</v>
      </c>
      <c r="O54" s="1008">
        <f>+landbouw!N12</f>
        <v>0</v>
      </c>
      <c r="P54" s="1008">
        <f>+landbouw!O12</f>
        <v>0</v>
      </c>
      <c r="Q54" s="1009">
        <f>+landbouw!P12</f>
        <v>0</v>
      </c>
      <c r="R54" s="720">
        <f ca="1">SUM(C54:Q54)</f>
        <v>723.21103795286501</v>
      </c>
    </row>
    <row r="55" spans="1:18" ht="15" thickBot="1">
      <c r="A55" s="819" t="s">
        <v>912</v>
      </c>
      <c r="B55" s="829"/>
      <c r="C55" s="1008">
        <f ca="1">C25*'EF ele_warmte'!B12</f>
        <v>79.762735721987198</v>
      </c>
      <c r="D55" s="1008"/>
      <c r="E55" s="1008">
        <f>E25*EF_CO2_aardgas</f>
        <v>178.71041000000002</v>
      </c>
      <c r="F55" s="1008"/>
      <c r="G55" s="1008"/>
      <c r="H55" s="1008"/>
      <c r="I55" s="1008"/>
      <c r="J55" s="1008"/>
      <c r="K55" s="1008"/>
      <c r="L55" s="1008"/>
      <c r="M55" s="1008"/>
      <c r="N55" s="1008"/>
      <c r="O55" s="1008"/>
      <c r="P55" s="1008"/>
      <c r="Q55" s="1009"/>
      <c r="R55" s="720">
        <f ca="1">SUM(C55:Q55)</f>
        <v>258.47314572198724</v>
      </c>
    </row>
    <row r="56" spans="1:18" ht="15.75" thickBot="1">
      <c r="A56" s="817" t="s">
        <v>913</v>
      </c>
      <c r="B56" s="830"/>
      <c r="C56" s="721">
        <f ca="1">SUM(C54:C55)</f>
        <v>174.72584920938297</v>
      </c>
      <c r="D56" s="721">
        <f t="shared" ref="D56:Q56" ca="1" si="7">SUM(D54:D55)</f>
        <v>0</v>
      </c>
      <c r="E56" s="721">
        <f t="shared" si="7"/>
        <v>353.65667806800002</v>
      </c>
      <c r="F56" s="721">
        <f t="shared" si="7"/>
        <v>1.0568470703278459</v>
      </c>
      <c r="G56" s="721">
        <f t="shared" si="7"/>
        <v>430.60295164302602</v>
      </c>
      <c r="H56" s="721">
        <f t="shared" si="7"/>
        <v>0</v>
      </c>
      <c r="I56" s="721">
        <f t="shared" si="7"/>
        <v>0</v>
      </c>
      <c r="J56" s="721">
        <f t="shared" si="7"/>
        <v>0</v>
      </c>
      <c r="K56" s="721">
        <f t="shared" si="7"/>
        <v>21.641857684115447</v>
      </c>
      <c r="L56" s="721">
        <f t="shared" si="7"/>
        <v>0</v>
      </c>
      <c r="M56" s="721">
        <f t="shared" si="7"/>
        <v>0</v>
      </c>
      <c r="N56" s="721">
        <f t="shared" si="7"/>
        <v>0</v>
      </c>
      <c r="O56" s="721">
        <f t="shared" si="7"/>
        <v>0</v>
      </c>
      <c r="P56" s="721">
        <f t="shared" si="7"/>
        <v>0</v>
      </c>
      <c r="Q56" s="722">
        <f t="shared" si="7"/>
        <v>0</v>
      </c>
      <c r="R56" s="723">
        <f ca="1">SUM(R54:R55)</f>
        <v>981.68418367485219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7030.7753205298777</v>
      </c>
      <c r="D61" s="729">
        <f t="shared" ref="D61:Q61" ca="1" si="8">D46+D52+D56</f>
        <v>0</v>
      </c>
      <c r="E61" s="729">
        <f t="shared" ca="1" si="8"/>
        <v>8005.0377944740012</v>
      </c>
      <c r="F61" s="729">
        <f t="shared" si="8"/>
        <v>1162.1121419590402</v>
      </c>
      <c r="G61" s="729">
        <f t="shared" ca="1" si="8"/>
        <v>9854.1851106280828</v>
      </c>
      <c r="H61" s="729">
        <f t="shared" si="8"/>
        <v>24558.329543544227</v>
      </c>
      <c r="I61" s="729">
        <f t="shared" si="8"/>
        <v>3929.0144855882227</v>
      </c>
      <c r="J61" s="729">
        <f t="shared" si="8"/>
        <v>0</v>
      </c>
      <c r="K61" s="729">
        <f t="shared" si="8"/>
        <v>28.071699524300591</v>
      </c>
      <c r="L61" s="729">
        <f t="shared" si="8"/>
        <v>0</v>
      </c>
      <c r="M61" s="729">
        <f t="shared" ca="1" si="8"/>
        <v>0</v>
      </c>
      <c r="N61" s="729">
        <f t="shared" si="8"/>
        <v>0</v>
      </c>
      <c r="O61" s="729">
        <f t="shared" ca="1" si="8"/>
        <v>0</v>
      </c>
      <c r="P61" s="729">
        <f t="shared" si="8"/>
        <v>0</v>
      </c>
      <c r="Q61" s="729">
        <f t="shared" si="8"/>
        <v>0</v>
      </c>
      <c r="R61" s="729">
        <f ca="1">R46+R52+R56</f>
        <v>54567.526096247748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0.19215444997672165</v>
      </c>
      <c r="D63" s="773">
        <f t="shared" ca="1" si="9"/>
        <v>0</v>
      </c>
      <c r="E63" s="1010">
        <f t="shared" ca="1" si="9"/>
        <v>0.20200000000000004</v>
      </c>
      <c r="F63" s="773">
        <f t="shared" si="9"/>
        <v>0.22699999999999998</v>
      </c>
      <c r="G63" s="773">
        <f t="shared" ca="1" si="9"/>
        <v>0.26699999999999996</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4775.7251428160034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4775.7251428160034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23885.953559964088</v>
      </c>
      <c r="C4" s="461">
        <f>huishoudens!C8</f>
        <v>0</v>
      </c>
      <c r="D4" s="461">
        <f>huishoudens!D8</f>
        <v>32057.689752000002</v>
      </c>
      <c r="E4" s="461">
        <f>huishoudens!E8</f>
        <v>4591.7977724533657</v>
      </c>
      <c r="F4" s="461">
        <f>huishoudens!F8</f>
        <v>32278.658790414556</v>
      </c>
      <c r="G4" s="461">
        <f>huishoudens!G8</f>
        <v>0</v>
      </c>
      <c r="H4" s="461">
        <f>huishoudens!H8</f>
        <v>0</v>
      </c>
      <c r="I4" s="461">
        <f>huishoudens!I8</f>
        <v>0</v>
      </c>
      <c r="J4" s="461">
        <f>huishoudens!J8</f>
        <v>0</v>
      </c>
      <c r="K4" s="461">
        <f>huishoudens!K8</f>
        <v>0</v>
      </c>
      <c r="L4" s="461">
        <f>huishoudens!L8</f>
        <v>0</v>
      </c>
      <c r="M4" s="461">
        <f>huishoudens!M8</f>
        <v>0</v>
      </c>
      <c r="N4" s="461">
        <f>huishoudens!N8</f>
        <v>14071.942164727734</v>
      </c>
      <c r="O4" s="461">
        <f>huishoudens!O8</f>
        <v>84.42</v>
      </c>
      <c r="P4" s="462">
        <f>huishoudens!P8</f>
        <v>305.06666666666666</v>
      </c>
      <c r="Q4" s="463">
        <f>SUM(B4:P4)</f>
        <v>107275.5287062264</v>
      </c>
    </row>
    <row r="5" spans="1:17">
      <c r="A5" s="460" t="s">
        <v>156</v>
      </c>
      <c r="B5" s="461">
        <f ca="1">tertiair!B16</f>
        <v>7843.9419999999991</v>
      </c>
      <c r="C5" s="461">
        <f ca="1">tertiair!C16</f>
        <v>0</v>
      </c>
      <c r="D5" s="461">
        <f ca="1">tertiair!D16</f>
        <v>3680.3070260000004</v>
      </c>
      <c r="E5" s="461">
        <f>tertiair!E16</f>
        <v>85.379341848432759</v>
      </c>
      <c r="F5" s="461">
        <f ca="1">tertiair!F16</f>
        <v>1630.49820573897</v>
      </c>
      <c r="G5" s="461">
        <f>tertiair!G16</f>
        <v>0</v>
      </c>
      <c r="H5" s="461">
        <f>tertiair!H16</f>
        <v>0</v>
      </c>
      <c r="I5" s="461">
        <f>tertiair!I16</f>
        <v>0</v>
      </c>
      <c r="J5" s="461">
        <f>tertiair!J16</f>
        <v>0</v>
      </c>
      <c r="K5" s="461">
        <f>tertiair!K16</f>
        <v>0</v>
      </c>
      <c r="L5" s="461">
        <f ca="1">tertiair!L16</f>
        <v>0</v>
      </c>
      <c r="M5" s="461">
        <f>tertiair!M16</f>
        <v>0</v>
      </c>
      <c r="N5" s="461">
        <f ca="1">tertiair!N16</f>
        <v>531.26947128787515</v>
      </c>
      <c r="O5" s="461">
        <f>tertiair!O16</f>
        <v>0</v>
      </c>
      <c r="P5" s="462">
        <f>tertiair!P16</f>
        <v>0</v>
      </c>
      <c r="Q5" s="460">
        <f t="shared" ref="Q5:Q14" ca="1" si="0">SUM(B5:P5)</f>
        <v>13771.396044875277</v>
      </c>
    </row>
    <row r="6" spans="1:17">
      <c r="A6" s="460" t="s">
        <v>194</v>
      </c>
      <c r="B6" s="461">
        <f>'openbare verlichting'!B8</f>
        <v>863.57899999999995</v>
      </c>
      <c r="C6" s="461"/>
      <c r="D6" s="461"/>
      <c r="E6" s="461"/>
      <c r="F6" s="461"/>
      <c r="G6" s="461"/>
      <c r="H6" s="461"/>
      <c r="I6" s="461"/>
      <c r="J6" s="461"/>
      <c r="K6" s="461"/>
      <c r="L6" s="461"/>
      <c r="M6" s="461"/>
      <c r="N6" s="461"/>
      <c r="O6" s="461"/>
      <c r="P6" s="462"/>
      <c r="Q6" s="460">
        <f t="shared" si="0"/>
        <v>863.57899999999995</v>
      </c>
    </row>
    <row r="7" spans="1:17">
      <c r="A7" s="460" t="s">
        <v>112</v>
      </c>
      <c r="B7" s="461">
        <f>landbouw!B8</f>
        <v>494.202</v>
      </c>
      <c r="C7" s="461">
        <f>landbouw!C8</f>
        <v>0</v>
      </c>
      <c r="D7" s="461">
        <f>landbouw!D8</f>
        <v>866.07063400000004</v>
      </c>
      <c r="E7" s="461">
        <f>landbouw!E8</f>
        <v>4.6557139662019642</v>
      </c>
      <c r="F7" s="461">
        <f>landbouw!F8</f>
        <v>1612.7451372397977</v>
      </c>
      <c r="G7" s="461">
        <f>landbouw!G8</f>
        <v>0</v>
      </c>
      <c r="H7" s="461">
        <f>landbouw!H8</f>
        <v>0</v>
      </c>
      <c r="I7" s="461">
        <f>landbouw!I8</f>
        <v>0</v>
      </c>
      <c r="J7" s="461">
        <f>landbouw!J8</f>
        <v>61.135191198066238</v>
      </c>
      <c r="K7" s="461">
        <f>landbouw!K8</f>
        <v>0</v>
      </c>
      <c r="L7" s="461">
        <f>landbouw!L8</f>
        <v>0</v>
      </c>
      <c r="M7" s="461">
        <f>landbouw!M8</f>
        <v>0</v>
      </c>
      <c r="N7" s="461">
        <f>landbouw!N8</f>
        <v>0</v>
      </c>
      <c r="O7" s="461">
        <f>landbouw!O8</f>
        <v>0</v>
      </c>
      <c r="P7" s="462">
        <f>landbouw!P8</f>
        <v>0</v>
      </c>
      <c r="Q7" s="460">
        <f t="shared" si="0"/>
        <v>3038.8086764040663</v>
      </c>
    </row>
    <row r="8" spans="1:17">
      <c r="A8" s="460" t="s">
        <v>685</v>
      </c>
      <c r="B8" s="461">
        <f>industrie!B18</f>
        <v>3083.6789999999996</v>
      </c>
      <c r="C8" s="461">
        <f>industrie!C18</f>
        <v>0</v>
      </c>
      <c r="D8" s="461">
        <f>industrie!D18</f>
        <v>2133.0703459999995</v>
      </c>
      <c r="E8" s="461">
        <f>industrie!E18</f>
        <v>23.457701966977627</v>
      </c>
      <c r="F8" s="461">
        <f>industrie!F18</f>
        <v>1385.1582060376932</v>
      </c>
      <c r="G8" s="461">
        <f>industrie!G18</f>
        <v>0</v>
      </c>
      <c r="H8" s="461">
        <f>industrie!H18</f>
        <v>0</v>
      </c>
      <c r="I8" s="461">
        <f>industrie!I18</f>
        <v>0</v>
      </c>
      <c r="J8" s="461">
        <f>industrie!J18</f>
        <v>18.163395028771589</v>
      </c>
      <c r="K8" s="461">
        <f>industrie!K18</f>
        <v>0</v>
      </c>
      <c r="L8" s="461">
        <f>industrie!L18</f>
        <v>0</v>
      </c>
      <c r="M8" s="461">
        <f>industrie!M18</f>
        <v>0</v>
      </c>
      <c r="N8" s="461">
        <f>industrie!N18</f>
        <v>126.19328910462129</v>
      </c>
      <c r="O8" s="461">
        <f>industrie!O18</f>
        <v>0</v>
      </c>
      <c r="P8" s="462">
        <f>industrie!P18</f>
        <v>0</v>
      </c>
      <c r="Q8" s="460">
        <f t="shared" si="0"/>
        <v>6769.7219381380628</v>
      </c>
    </row>
    <row r="9" spans="1:17" s="466" customFormat="1">
      <c r="A9" s="464" t="s">
        <v>579</v>
      </c>
      <c r="B9" s="465">
        <f>transport!B14</f>
        <v>2.7355716748884689</v>
      </c>
      <c r="C9" s="465">
        <f>transport!C14</f>
        <v>0</v>
      </c>
      <c r="D9" s="465">
        <f>transport!D14</f>
        <v>7.0572146435682939</v>
      </c>
      <c r="E9" s="465">
        <f>transport!E14</f>
        <v>414.14621848326084</v>
      </c>
      <c r="F9" s="465">
        <f>transport!F14</f>
        <v>0</v>
      </c>
      <c r="G9" s="465">
        <f>transport!G14</f>
        <v>89712.99207432344</v>
      </c>
      <c r="H9" s="465">
        <f>transport!H14</f>
        <v>15779.174640916557</v>
      </c>
      <c r="I9" s="465">
        <f>transport!I14</f>
        <v>0</v>
      </c>
      <c r="J9" s="465">
        <f>transport!J14</f>
        <v>0</v>
      </c>
      <c r="K9" s="465">
        <f>transport!K14</f>
        <v>0</v>
      </c>
      <c r="L9" s="465">
        <f>transport!L14</f>
        <v>0</v>
      </c>
      <c r="M9" s="465">
        <f>transport!M14</f>
        <v>4716.7397867356985</v>
      </c>
      <c r="N9" s="465">
        <f>transport!N14</f>
        <v>0</v>
      </c>
      <c r="O9" s="465">
        <f>transport!O14</f>
        <v>0</v>
      </c>
      <c r="P9" s="465">
        <f>transport!P14</f>
        <v>0</v>
      </c>
      <c r="Q9" s="464">
        <f>SUM(B9:P9)</f>
        <v>110632.84550677742</v>
      </c>
    </row>
    <row r="10" spans="1:17">
      <c r="A10" s="460" t="s">
        <v>569</v>
      </c>
      <c r="B10" s="461">
        <f>transport!B54</f>
        <v>0</v>
      </c>
      <c r="C10" s="461">
        <f>transport!C54</f>
        <v>0</v>
      </c>
      <c r="D10" s="461">
        <f>transport!D54</f>
        <v>0</v>
      </c>
      <c r="E10" s="461">
        <f>transport!E54</f>
        <v>0</v>
      </c>
      <c r="F10" s="461">
        <f>transport!F54</f>
        <v>0</v>
      </c>
      <c r="G10" s="461">
        <f>transport!G54</f>
        <v>2265.7702610481856</v>
      </c>
      <c r="H10" s="461">
        <f>transport!H54</f>
        <v>0</v>
      </c>
      <c r="I10" s="461">
        <f>transport!I54</f>
        <v>0</v>
      </c>
      <c r="J10" s="461">
        <f>transport!J54</f>
        <v>0</v>
      </c>
      <c r="K10" s="461">
        <f>transport!K54</f>
        <v>0</v>
      </c>
      <c r="L10" s="461">
        <f>transport!L54</f>
        <v>0</v>
      </c>
      <c r="M10" s="461">
        <f>transport!M54</f>
        <v>99.493709784463746</v>
      </c>
      <c r="N10" s="461">
        <f>transport!N54</f>
        <v>0</v>
      </c>
      <c r="O10" s="461">
        <f>transport!O54</f>
        <v>0</v>
      </c>
      <c r="P10" s="462">
        <f>transport!P54</f>
        <v>0</v>
      </c>
      <c r="Q10" s="460">
        <f t="shared" si="0"/>
        <v>2365.2639708326492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415.09699999999998</v>
      </c>
      <c r="C14" s="468"/>
      <c r="D14" s="468">
        <f>'SEAP template'!E25</f>
        <v>884.70500000000004</v>
      </c>
      <c r="E14" s="468"/>
      <c r="F14" s="468"/>
      <c r="G14" s="468"/>
      <c r="H14" s="468"/>
      <c r="I14" s="468"/>
      <c r="J14" s="468"/>
      <c r="K14" s="468"/>
      <c r="L14" s="468"/>
      <c r="M14" s="468"/>
      <c r="N14" s="468"/>
      <c r="O14" s="468"/>
      <c r="P14" s="469"/>
      <c r="Q14" s="460">
        <f t="shared" si="0"/>
        <v>1299.8020000000001</v>
      </c>
    </row>
    <row r="15" spans="1:17" s="473" customFormat="1">
      <c r="A15" s="470" t="s">
        <v>573</v>
      </c>
      <c r="B15" s="471">
        <f ca="1">SUM(B4:B14)</f>
        <v>36589.18813163897</v>
      </c>
      <c r="C15" s="471">
        <f t="shared" ref="C15:Q15" ca="1" si="1">SUM(C4:C14)</f>
        <v>0</v>
      </c>
      <c r="D15" s="471">
        <f t="shared" ca="1" si="1"/>
        <v>39628.899972643572</v>
      </c>
      <c r="E15" s="471">
        <f t="shared" si="1"/>
        <v>5119.436748718239</v>
      </c>
      <c r="F15" s="471">
        <f t="shared" ca="1" si="1"/>
        <v>36907.060339431016</v>
      </c>
      <c r="G15" s="471">
        <f t="shared" si="1"/>
        <v>91978.762335371619</v>
      </c>
      <c r="H15" s="471">
        <f t="shared" si="1"/>
        <v>15779.174640916557</v>
      </c>
      <c r="I15" s="471">
        <f t="shared" si="1"/>
        <v>0</v>
      </c>
      <c r="J15" s="471">
        <f t="shared" si="1"/>
        <v>79.298586226837827</v>
      </c>
      <c r="K15" s="471">
        <f t="shared" si="1"/>
        <v>0</v>
      </c>
      <c r="L15" s="471">
        <f t="shared" ca="1" si="1"/>
        <v>0</v>
      </c>
      <c r="M15" s="471">
        <f t="shared" si="1"/>
        <v>4816.2334965201626</v>
      </c>
      <c r="N15" s="471">
        <f t="shared" ca="1" si="1"/>
        <v>14729.40492512023</v>
      </c>
      <c r="O15" s="471">
        <f t="shared" si="1"/>
        <v>84.42</v>
      </c>
      <c r="P15" s="471">
        <f t="shared" si="1"/>
        <v>305.06666666666666</v>
      </c>
      <c r="Q15" s="471">
        <f t="shared" ca="1" si="1"/>
        <v>246016.94584325387</v>
      </c>
    </row>
    <row r="17" spans="1:17">
      <c r="A17" s="474" t="s">
        <v>574</v>
      </c>
      <c r="B17" s="778">
        <f ca="1">huishoudens!B10</f>
        <v>0.1921544499767216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4589.7922684844143</v>
      </c>
      <c r="C22" s="461">
        <f t="shared" ref="C22:C32" ca="1" si="3">C4*$C$17</f>
        <v>0</v>
      </c>
      <c r="D22" s="461">
        <f t="shared" ref="D22:D32" si="4">D4*$D$17</f>
        <v>6475.6533299040011</v>
      </c>
      <c r="E22" s="461">
        <f t="shared" ref="E22:E32" si="5">E4*$E$17</f>
        <v>1042.338094346914</v>
      </c>
      <c r="F22" s="461">
        <f t="shared" ref="F22:F32" si="6">F4*$F$17</f>
        <v>8618.4018970406869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20726.185589776018</v>
      </c>
    </row>
    <row r="23" spans="1:17">
      <c r="A23" s="460" t="s">
        <v>156</v>
      </c>
      <c r="B23" s="461">
        <f t="shared" ca="1" si="2"/>
        <v>1507.2483606593055</v>
      </c>
      <c r="C23" s="461">
        <f t="shared" ca="1" si="3"/>
        <v>0</v>
      </c>
      <c r="D23" s="461">
        <f t="shared" ca="1" si="4"/>
        <v>743.42201925200015</v>
      </c>
      <c r="E23" s="461">
        <f t="shared" si="5"/>
        <v>19.381110599594237</v>
      </c>
      <c r="F23" s="461">
        <f t="shared" ca="1" si="6"/>
        <v>435.34302093230502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2705.3945114432049</v>
      </c>
    </row>
    <row r="24" spans="1:17">
      <c r="A24" s="460" t="s">
        <v>194</v>
      </c>
      <c r="B24" s="461">
        <f t="shared" ca="1" si="2"/>
        <v>165.94054775644724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165.94054775644724</v>
      </c>
    </row>
    <row r="25" spans="1:17">
      <c r="A25" s="460" t="s">
        <v>112</v>
      </c>
      <c r="B25" s="461">
        <f t="shared" ca="1" si="2"/>
        <v>94.963113487395773</v>
      </c>
      <c r="C25" s="461">
        <f t="shared" ca="1" si="3"/>
        <v>0</v>
      </c>
      <c r="D25" s="461">
        <f t="shared" si="4"/>
        <v>174.94626806800002</v>
      </c>
      <c r="E25" s="461">
        <f t="shared" si="5"/>
        <v>1.0568470703278459</v>
      </c>
      <c r="F25" s="461">
        <f t="shared" si="6"/>
        <v>430.60295164302602</v>
      </c>
      <c r="G25" s="461">
        <f t="shared" si="7"/>
        <v>0</v>
      </c>
      <c r="H25" s="461">
        <f t="shared" si="8"/>
        <v>0</v>
      </c>
      <c r="I25" s="461">
        <f t="shared" si="9"/>
        <v>0</v>
      </c>
      <c r="J25" s="461">
        <f t="shared" si="10"/>
        <v>21.641857684115447</v>
      </c>
      <c r="K25" s="461">
        <f t="shared" si="11"/>
        <v>0</v>
      </c>
      <c r="L25" s="461">
        <f t="shared" si="12"/>
        <v>0</v>
      </c>
      <c r="M25" s="461">
        <f t="shared" si="13"/>
        <v>0</v>
      </c>
      <c r="N25" s="461">
        <f t="shared" si="14"/>
        <v>0</v>
      </c>
      <c r="O25" s="461">
        <f t="shared" si="15"/>
        <v>0</v>
      </c>
      <c r="P25" s="462">
        <f t="shared" si="16"/>
        <v>0</v>
      </c>
      <c r="Q25" s="460">
        <f t="shared" ca="1" si="17"/>
        <v>723.21103795286501</v>
      </c>
    </row>
    <row r="26" spans="1:17">
      <c r="A26" s="460" t="s">
        <v>685</v>
      </c>
      <c r="B26" s="461">
        <f t="shared" ca="1" si="2"/>
        <v>592.54264214976683</v>
      </c>
      <c r="C26" s="461">
        <f t="shared" ca="1" si="3"/>
        <v>0</v>
      </c>
      <c r="D26" s="461">
        <f t="shared" si="4"/>
        <v>430.88020989199993</v>
      </c>
      <c r="E26" s="461">
        <f t="shared" si="5"/>
        <v>5.3248983465039217</v>
      </c>
      <c r="F26" s="461">
        <f t="shared" si="6"/>
        <v>369.83724101206411</v>
      </c>
      <c r="G26" s="461">
        <f t="shared" si="7"/>
        <v>0</v>
      </c>
      <c r="H26" s="461">
        <f t="shared" si="8"/>
        <v>0</v>
      </c>
      <c r="I26" s="461">
        <f t="shared" si="9"/>
        <v>0</v>
      </c>
      <c r="J26" s="461">
        <f t="shared" si="10"/>
        <v>6.4298418401851425</v>
      </c>
      <c r="K26" s="461">
        <f t="shared" si="11"/>
        <v>0</v>
      </c>
      <c r="L26" s="461">
        <f t="shared" si="12"/>
        <v>0</v>
      </c>
      <c r="M26" s="461">
        <f t="shared" si="13"/>
        <v>0</v>
      </c>
      <c r="N26" s="461">
        <f t="shared" si="14"/>
        <v>0</v>
      </c>
      <c r="O26" s="461">
        <f t="shared" si="15"/>
        <v>0</v>
      </c>
      <c r="P26" s="462">
        <f t="shared" si="16"/>
        <v>0</v>
      </c>
      <c r="Q26" s="460">
        <f t="shared" ca="1" si="17"/>
        <v>1405.0148332405201</v>
      </c>
    </row>
    <row r="27" spans="1:17" s="466" customFormat="1">
      <c r="A27" s="464" t="s">
        <v>579</v>
      </c>
      <c r="B27" s="772">
        <f t="shared" ca="1" si="2"/>
        <v>0.52565227056009278</v>
      </c>
      <c r="C27" s="465">
        <f t="shared" ca="1" si="3"/>
        <v>0</v>
      </c>
      <c r="D27" s="465">
        <f t="shared" si="4"/>
        <v>1.4255573580007954</v>
      </c>
      <c r="E27" s="465">
        <f t="shared" si="5"/>
        <v>94.011191595700211</v>
      </c>
      <c r="F27" s="465">
        <f t="shared" si="6"/>
        <v>0</v>
      </c>
      <c r="G27" s="465">
        <f t="shared" si="7"/>
        <v>23953.36888384436</v>
      </c>
      <c r="H27" s="465">
        <f t="shared" si="8"/>
        <v>3929.0144855882227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27978.345770656844</v>
      </c>
    </row>
    <row r="28" spans="1:17">
      <c r="A28" s="460" t="s">
        <v>569</v>
      </c>
      <c r="B28" s="461">
        <f t="shared" ca="1" si="2"/>
        <v>0</v>
      </c>
      <c r="C28" s="461">
        <f t="shared" ca="1" si="3"/>
        <v>0</v>
      </c>
      <c r="D28" s="461">
        <f t="shared" si="4"/>
        <v>0</v>
      </c>
      <c r="E28" s="461">
        <f t="shared" si="5"/>
        <v>0</v>
      </c>
      <c r="F28" s="461">
        <f t="shared" si="6"/>
        <v>0</v>
      </c>
      <c r="G28" s="461">
        <f t="shared" si="7"/>
        <v>604.96065969986557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604.96065969986557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79.762735721987198</v>
      </c>
      <c r="C32" s="461">
        <f t="shared" ca="1" si="3"/>
        <v>0</v>
      </c>
      <c r="D32" s="461">
        <f t="shared" si="4"/>
        <v>178.71041000000002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258.47314572198724</v>
      </c>
    </row>
    <row r="33" spans="1:17" s="473" customFormat="1">
      <c r="A33" s="470" t="s">
        <v>573</v>
      </c>
      <c r="B33" s="471">
        <f ca="1">SUM(B22:B32)</f>
        <v>7030.7753205298768</v>
      </c>
      <c r="C33" s="471">
        <f t="shared" ref="C33:Q33" ca="1" si="18">SUM(C22:C32)</f>
        <v>0</v>
      </c>
      <c r="D33" s="471">
        <f t="shared" ca="1" si="18"/>
        <v>8005.0377944740012</v>
      </c>
      <c r="E33" s="471">
        <f t="shared" si="18"/>
        <v>1162.1121419590402</v>
      </c>
      <c r="F33" s="471">
        <f t="shared" ca="1" si="18"/>
        <v>9854.1851106280828</v>
      </c>
      <c r="G33" s="471">
        <f t="shared" si="18"/>
        <v>24558.329543544227</v>
      </c>
      <c r="H33" s="471">
        <f t="shared" si="18"/>
        <v>3929.0144855882227</v>
      </c>
      <c r="I33" s="471">
        <f t="shared" si="18"/>
        <v>0</v>
      </c>
      <c r="J33" s="471">
        <f t="shared" si="18"/>
        <v>28.071699524300591</v>
      </c>
      <c r="K33" s="471">
        <f t="shared" si="18"/>
        <v>0</v>
      </c>
      <c r="L33" s="471">
        <f t="shared" ca="1" si="18"/>
        <v>0</v>
      </c>
      <c r="M33" s="471">
        <f t="shared" si="18"/>
        <v>0</v>
      </c>
      <c r="N33" s="471">
        <f t="shared" ca="1" si="18"/>
        <v>0</v>
      </c>
      <c r="O33" s="471">
        <f t="shared" si="18"/>
        <v>0</v>
      </c>
      <c r="P33" s="471">
        <f t="shared" si="18"/>
        <v>0</v>
      </c>
      <c r="Q33" s="471">
        <f t="shared" ca="1" si="18"/>
        <v>54567.526096247748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4775.7251428160034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4775.7251428160034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0.1921544499767216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0.1921544499767216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0.1921544499767216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0.1921544499767216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72038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4764</v>
      </c>
      <c r="C9" s="338">
        <v>4965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1905</v>
      </c>
    </row>
    <row r="15" spans="1:6">
      <c r="A15" s="1286" t="s">
        <v>184</v>
      </c>
      <c r="B15" s="335">
        <v>111</v>
      </c>
    </row>
    <row r="16" spans="1:6">
      <c r="A16" s="1286" t="s">
        <v>6</v>
      </c>
      <c r="B16" s="335">
        <v>256</v>
      </c>
    </row>
    <row r="17" spans="1:6">
      <c r="A17" s="1286" t="s">
        <v>7</v>
      </c>
      <c r="B17" s="335">
        <v>108</v>
      </c>
    </row>
    <row r="18" spans="1:6">
      <c r="A18" s="1286" t="s">
        <v>8</v>
      </c>
      <c r="B18" s="335">
        <v>197</v>
      </c>
    </row>
    <row r="19" spans="1:6">
      <c r="A19" s="1286" t="s">
        <v>9</v>
      </c>
      <c r="B19" s="335">
        <v>158</v>
      </c>
    </row>
    <row r="20" spans="1:6">
      <c r="A20" s="1286" t="s">
        <v>10</v>
      </c>
      <c r="B20" s="335">
        <v>144</v>
      </c>
    </row>
    <row r="21" spans="1:6">
      <c r="A21" s="1286" t="s">
        <v>11</v>
      </c>
      <c r="B21" s="335">
        <v>1065</v>
      </c>
    </row>
    <row r="22" spans="1:6">
      <c r="A22" s="1286" t="s">
        <v>12</v>
      </c>
      <c r="B22" s="335">
        <v>2043</v>
      </c>
    </row>
    <row r="23" spans="1:6">
      <c r="A23" s="1286" t="s">
        <v>13</v>
      </c>
      <c r="B23" s="335">
        <v>55</v>
      </c>
    </row>
    <row r="24" spans="1:6">
      <c r="A24" s="1286" t="s">
        <v>14</v>
      </c>
      <c r="B24" s="335">
        <v>3</v>
      </c>
    </row>
    <row r="25" spans="1:6">
      <c r="A25" s="1286" t="s">
        <v>15</v>
      </c>
      <c r="B25" s="335">
        <v>326</v>
      </c>
    </row>
    <row r="26" spans="1:6">
      <c r="A26" s="1286" t="s">
        <v>16</v>
      </c>
      <c r="B26" s="335">
        <v>0</v>
      </c>
    </row>
    <row r="27" spans="1:6">
      <c r="A27" s="1286" t="s">
        <v>17</v>
      </c>
      <c r="B27" s="335">
        <v>1</v>
      </c>
    </row>
    <row r="28" spans="1:6" s="341" customFormat="1">
      <c r="A28" s="1287" t="s">
        <v>18</v>
      </c>
      <c r="B28" s="1287">
        <v>32908</v>
      </c>
    </row>
    <row r="29" spans="1:6">
      <c r="A29" s="1287" t="s">
        <v>944</v>
      </c>
      <c r="B29" s="1287">
        <v>174</v>
      </c>
      <c r="C29" s="341"/>
      <c r="D29" s="341"/>
      <c r="E29" s="341"/>
      <c r="F29" s="341"/>
    </row>
    <row r="30" spans="1:6">
      <c r="A30" s="1282" t="s">
        <v>945</v>
      </c>
      <c r="B30" s="1282">
        <v>18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3095</v>
      </c>
    </row>
    <row r="37" spans="1:6">
      <c r="A37" s="1286" t="s">
        <v>25</v>
      </c>
      <c r="B37" s="1286" t="s">
        <v>28</v>
      </c>
      <c r="C37" s="335">
        <v>0</v>
      </c>
      <c r="D37" s="335">
        <v>0</v>
      </c>
      <c r="E37" s="335">
        <v>0</v>
      </c>
      <c r="F37" s="335">
        <v>0</v>
      </c>
    </row>
    <row r="38" spans="1:6">
      <c r="A38" s="1286" t="s">
        <v>25</v>
      </c>
      <c r="B38" s="1286" t="s">
        <v>29</v>
      </c>
      <c r="C38" s="335">
        <v>0</v>
      </c>
      <c r="D38" s="335">
        <v>0</v>
      </c>
      <c r="E38" s="335">
        <v>1</v>
      </c>
      <c r="F38" s="335">
        <v>1392</v>
      </c>
    </row>
    <row r="39" spans="1:6">
      <c r="A39" s="1286" t="s">
        <v>30</v>
      </c>
      <c r="B39" s="1286" t="s">
        <v>31</v>
      </c>
      <c r="C39" s="335">
        <v>2068</v>
      </c>
      <c r="D39" s="335">
        <v>35540676</v>
      </c>
      <c r="E39" s="335">
        <v>4872</v>
      </c>
      <c r="F39" s="335">
        <v>20145462</v>
      </c>
    </row>
    <row r="40" spans="1:6">
      <c r="A40" s="1286" t="s">
        <v>30</v>
      </c>
      <c r="B40" s="1286" t="s">
        <v>29</v>
      </c>
      <c r="C40" s="335">
        <v>0</v>
      </c>
      <c r="D40" s="335">
        <v>0</v>
      </c>
      <c r="E40" s="335">
        <v>0</v>
      </c>
      <c r="F40" s="335">
        <v>0</v>
      </c>
    </row>
    <row r="41" spans="1:6">
      <c r="A41" s="1286" t="s">
        <v>32</v>
      </c>
      <c r="B41" s="1286" t="s">
        <v>33</v>
      </c>
      <c r="C41" s="335">
        <v>29</v>
      </c>
      <c r="D41" s="335">
        <v>1160347</v>
      </c>
      <c r="E41" s="335">
        <v>97</v>
      </c>
      <c r="F41" s="335">
        <v>1468984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963468</v>
      </c>
      <c r="E44" s="335">
        <v>20</v>
      </c>
      <c r="F44" s="335">
        <v>1043931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v>
      </c>
      <c r="D48" s="335">
        <v>9109</v>
      </c>
      <c r="E48" s="335">
        <v>4</v>
      </c>
      <c r="F48" s="335">
        <v>179756</v>
      </c>
    </row>
    <row r="49" spans="1:6">
      <c r="A49" s="1286" t="s">
        <v>32</v>
      </c>
      <c r="B49" s="1286" t="s">
        <v>40</v>
      </c>
      <c r="C49" s="335">
        <v>0</v>
      </c>
      <c r="D49" s="335">
        <v>0</v>
      </c>
      <c r="E49" s="335">
        <v>0</v>
      </c>
      <c r="F49" s="335">
        <v>0</v>
      </c>
    </row>
    <row r="50" spans="1:6">
      <c r="A50" s="1286" t="s">
        <v>32</v>
      </c>
      <c r="B50" s="1286" t="s">
        <v>41</v>
      </c>
      <c r="C50" s="335">
        <v>6</v>
      </c>
      <c r="D50" s="335">
        <v>231899</v>
      </c>
      <c r="E50" s="335">
        <v>15</v>
      </c>
      <c r="F50" s="335">
        <v>391008</v>
      </c>
    </row>
    <row r="51" spans="1:6">
      <c r="A51" s="1286" t="s">
        <v>42</v>
      </c>
      <c r="B51" s="1286" t="s">
        <v>43</v>
      </c>
      <c r="C51" s="335">
        <v>14</v>
      </c>
      <c r="D51" s="335">
        <v>960167</v>
      </c>
      <c r="E51" s="335">
        <v>24</v>
      </c>
      <c r="F51" s="335">
        <v>494202</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64</v>
      </c>
      <c r="F54" s="335">
        <v>863579</v>
      </c>
    </row>
    <row r="55" spans="1:6">
      <c r="A55" s="1286" t="s">
        <v>46</v>
      </c>
      <c r="B55" s="1286" t="s">
        <v>29</v>
      </c>
      <c r="C55" s="335">
        <v>0</v>
      </c>
      <c r="D55" s="335">
        <v>0</v>
      </c>
      <c r="E55" s="335">
        <v>0</v>
      </c>
      <c r="F55" s="335">
        <v>0</v>
      </c>
    </row>
    <row r="56" spans="1:6">
      <c r="A56" s="1286" t="s">
        <v>48</v>
      </c>
      <c r="B56" s="1286" t="s">
        <v>29</v>
      </c>
      <c r="C56" s="335">
        <v>19</v>
      </c>
      <c r="D56" s="335">
        <v>884705</v>
      </c>
      <c r="E56" s="335">
        <v>59</v>
      </c>
      <c r="F56" s="335">
        <v>415097</v>
      </c>
    </row>
    <row r="57" spans="1:6">
      <c r="A57" s="1286" t="s">
        <v>49</v>
      </c>
      <c r="B57" s="1286" t="s">
        <v>50</v>
      </c>
      <c r="C57" s="335">
        <v>13</v>
      </c>
      <c r="D57" s="335">
        <v>345378</v>
      </c>
      <c r="E57" s="335">
        <v>47</v>
      </c>
      <c r="F57" s="335">
        <v>886757</v>
      </c>
    </row>
    <row r="58" spans="1:6">
      <c r="A58" s="1286" t="s">
        <v>49</v>
      </c>
      <c r="B58" s="1286" t="s">
        <v>51</v>
      </c>
      <c r="C58" s="335">
        <v>8</v>
      </c>
      <c r="D58" s="335">
        <v>149881</v>
      </c>
      <c r="E58" s="335">
        <v>22</v>
      </c>
      <c r="F58" s="335">
        <v>351817</v>
      </c>
    </row>
    <row r="59" spans="1:6">
      <c r="A59" s="1286" t="s">
        <v>49</v>
      </c>
      <c r="B59" s="1286" t="s">
        <v>52</v>
      </c>
      <c r="C59" s="335">
        <v>30</v>
      </c>
      <c r="D59" s="335">
        <v>1012569</v>
      </c>
      <c r="E59" s="335">
        <v>105</v>
      </c>
      <c r="F59" s="335">
        <v>3036591</v>
      </c>
    </row>
    <row r="60" spans="1:6">
      <c r="A60" s="1286" t="s">
        <v>49</v>
      </c>
      <c r="B60" s="1286" t="s">
        <v>53</v>
      </c>
      <c r="C60" s="335">
        <v>14</v>
      </c>
      <c r="D60" s="335">
        <v>712071</v>
      </c>
      <c r="E60" s="335">
        <v>45</v>
      </c>
      <c r="F60" s="335">
        <v>1112336</v>
      </c>
    </row>
    <row r="61" spans="1:6">
      <c r="A61" s="1286" t="s">
        <v>49</v>
      </c>
      <c r="B61" s="1286" t="s">
        <v>54</v>
      </c>
      <c r="C61" s="335">
        <v>38</v>
      </c>
      <c r="D61" s="335">
        <v>1033845</v>
      </c>
      <c r="E61" s="335">
        <v>196</v>
      </c>
      <c r="F61" s="335">
        <v>2134447</v>
      </c>
    </row>
    <row r="62" spans="1:6">
      <c r="A62" s="1286" t="s">
        <v>49</v>
      </c>
      <c r="B62" s="1286" t="s">
        <v>55</v>
      </c>
      <c r="C62" s="335">
        <v>6</v>
      </c>
      <c r="D62" s="335">
        <v>826419</v>
      </c>
      <c r="E62" s="335">
        <v>8</v>
      </c>
      <c r="F62" s="335">
        <v>321994</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4842</v>
      </c>
    </row>
    <row r="66" spans="1:6">
      <c r="A66" s="1286" t="s">
        <v>56</v>
      </c>
      <c r="B66" s="1286" t="s">
        <v>58</v>
      </c>
      <c r="C66" s="335">
        <v>0</v>
      </c>
      <c r="D66" s="335">
        <v>0</v>
      </c>
      <c r="E66" s="335">
        <v>0</v>
      </c>
      <c r="F66" s="335">
        <v>0</v>
      </c>
    </row>
    <row r="67" spans="1:6">
      <c r="A67" s="1287" t="s">
        <v>56</v>
      </c>
      <c r="B67" s="1287" t="s">
        <v>59</v>
      </c>
      <c r="C67" s="335">
        <v>0</v>
      </c>
      <c r="D67" s="335">
        <v>0</v>
      </c>
      <c r="E67" s="335">
        <v>3</v>
      </c>
      <c r="F67" s="335">
        <v>41153</v>
      </c>
    </row>
    <row r="68" spans="1:6">
      <c r="A68" s="1282" t="s">
        <v>56</v>
      </c>
      <c r="B68" s="1282" t="s">
        <v>60</v>
      </c>
      <c r="C68" s="335">
        <v>0</v>
      </c>
      <c r="D68" s="335">
        <v>0</v>
      </c>
      <c r="E68" s="335">
        <v>4</v>
      </c>
      <c r="F68" s="335">
        <v>223284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120780700</v>
      </c>
      <c r="E73" s="335">
        <v>125291870.85606883</v>
      </c>
    </row>
    <row r="74" spans="1:6">
      <c r="A74" s="1286" t="s">
        <v>64</v>
      </c>
      <c r="B74" s="1286" t="s">
        <v>772</v>
      </c>
      <c r="C74" s="1297" t="s">
        <v>766</v>
      </c>
      <c r="D74" s="335">
        <v>11629107.429238265</v>
      </c>
      <c r="E74" s="335">
        <v>12481613.819711296</v>
      </c>
    </row>
    <row r="75" spans="1:6">
      <c r="A75" s="1286" t="s">
        <v>65</v>
      </c>
      <c r="B75" s="1286" t="s">
        <v>771</v>
      </c>
      <c r="C75" s="1297" t="s">
        <v>767</v>
      </c>
      <c r="D75" s="335">
        <v>9236788</v>
      </c>
      <c r="E75" s="335">
        <v>9458759.2710468061</v>
      </c>
    </row>
    <row r="76" spans="1:6">
      <c r="A76" s="1286" t="s">
        <v>65</v>
      </c>
      <c r="B76" s="1286" t="s">
        <v>772</v>
      </c>
      <c r="C76" s="1297" t="s">
        <v>768</v>
      </c>
      <c r="D76" s="335">
        <v>50167.429238264682</v>
      </c>
      <c r="E76" s="335">
        <v>93532.907136772294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622309.14152347064</v>
      </c>
      <c r="C83" s="335">
        <v>588495.57083724288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3740.4915599640881</v>
      </c>
    </row>
    <row r="92" spans="1:6">
      <c r="A92" s="1282" t="s">
        <v>69</v>
      </c>
      <c r="B92" s="338">
        <v>1035.2335828519158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496</v>
      </c>
    </row>
    <row r="98" spans="1:6">
      <c r="A98" s="1286" t="s">
        <v>72</v>
      </c>
      <c r="B98" s="335">
        <v>3</v>
      </c>
    </row>
    <row r="99" spans="1:6">
      <c r="A99" s="1286" t="s">
        <v>73</v>
      </c>
      <c r="B99" s="335">
        <v>71</v>
      </c>
    </row>
    <row r="100" spans="1:6">
      <c r="A100" s="1286" t="s">
        <v>74</v>
      </c>
      <c r="B100" s="335">
        <v>218</v>
      </c>
    </row>
    <row r="101" spans="1:6">
      <c r="A101" s="1286" t="s">
        <v>75</v>
      </c>
      <c r="B101" s="335">
        <v>67</v>
      </c>
    </row>
    <row r="102" spans="1:6">
      <c r="A102" s="1286" t="s">
        <v>76</v>
      </c>
      <c r="B102" s="335">
        <v>49</v>
      </c>
    </row>
    <row r="103" spans="1:6">
      <c r="A103" s="1286" t="s">
        <v>77</v>
      </c>
      <c r="B103" s="335">
        <v>75</v>
      </c>
    </row>
    <row r="104" spans="1:6">
      <c r="A104" s="1286" t="s">
        <v>78</v>
      </c>
      <c r="B104" s="335">
        <v>3050</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14</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45</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36589.18813163897</v>
      </c>
      <c r="C3" s="44" t="s">
        <v>170</v>
      </c>
      <c r="D3" s="44"/>
      <c r="E3" s="157"/>
      <c r="F3" s="44"/>
      <c r="G3" s="44"/>
      <c r="H3" s="44"/>
      <c r="I3" s="44"/>
      <c r="J3" s="44"/>
      <c r="K3" s="97"/>
    </row>
    <row r="4" spans="1:11">
      <c r="A4" s="365" t="s">
        <v>171</v>
      </c>
      <c r="B4" s="50">
        <f>IF(ISERROR('SEAP template'!B78+'SEAP template'!C78),0,'SEAP template'!B78+'SEAP template'!C78)</f>
        <v>4775.7251428160034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0.1921544499767216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863.57899999999995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863.57899999999995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0.1921544499767216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165.94054775644724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20145.462</v>
      </c>
      <c r="C5" s="18">
        <f>IF(ISERROR('Eigen informatie GS &amp; warmtenet'!B57),0,'Eigen informatie GS &amp; warmtenet'!B57)</f>
        <v>0</v>
      </c>
      <c r="D5" s="31">
        <f>(SUM(HH_hh_gas_kWh,HH_rest_gas_kWh)/1000)*0.902</f>
        <v>32057.689752000002</v>
      </c>
      <c r="E5" s="18">
        <f>B46*B57</f>
        <v>4591.7977724533657</v>
      </c>
      <c r="F5" s="18">
        <f>B51*B62</f>
        <v>32278.658790414556</v>
      </c>
      <c r="G5" s="19"/>
      <c r="H5" s="18"/>
      <c r="I5" s="18"/>
      <c r="J5" s="18">
        <f>B50*B61+C50*C61</f>
        <v>0</v>
      </c>
      <c r="K5" s="18"/>
      <c r="L5" s="18"/>
      <c r="M5" s="18"/>
      <c r="N5" s="18">
        <f>B48*B59+C48*C59</f>
        <v>14071.942164727734</v>
      </c>
      <c r="O5" s="18">
        <f>B69*B70*B71</f>
        <v>84.42</v>
      </c>
      <c r="P5" s="18">
        <f>B77*B78*B79/1000-B77*B78*B79/1000/B80</f>
        <v>305.06666666666666</v>
      </c>
    </row>
    <row r="6" spans="1:16">
      <c r="A6" s="17" t="s">
        <v>639</v>
      </c>
      <c r="B6" s="780">
        <f>kWh_PV_kleiner_dan_10kW</f>
        <v>3740.4915599640881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23885.953559964088</v>
      </c>
      <c r="C8" s="22">
        <f>C5</f>
        <v>0</v>
      </c>
      <c r="D8" s="22">
        <f>D5</f>
        <v>32057.689752000002</v>
      </c>
      <c r="E8" s="22">
        <f>E5</f>
        <v>4591.7977724533657</v>
      </c>
      <c r="F8" s="22">
        <f>F5</f>
        <v>32278.658790414556</v>
      </c>
      <c r="G8" s="22"/>
      <c r="H8" s="22"/>
      <c r="I8" s="22"/>
      <c r="J8" s="22">
        <f>J5</f>
        <v>0</v>
      </c>
      <c r="K8" s="22"/>
      <c r="L8" s="22">
        <f>L5</f>
        <v>0</v>
      </c>
      <c r="M8" s="22">
        <f>M5</f>
        <v>0</v>
      </c>
      <c r="N8" s="22">
        <f>N5</f>
        <v>14071.942164727734</v>
      </c>
      <c r="O8" s="22">
        <f>O5</f>
        <v>84.42</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0.1921544499767216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4589.7922684844143</v>
      </c>
      <c r="C12" s="24">
        <f ca="1">C10*C8</f>
        <v>0</v>
      </c>
      <c r="D12" s="24">
        <f>D8*D10</f>
        <v>6475.6533299040011</v>
      </c>
      <c r="E12" s="24">
        <f>E10*E8</f>
        <v>1042.338094346914</v>
      </c>
      <c r="F12" s="24">
        <f>F10*F8</f>
        <v>8618.4018970406869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496</v>
      </c>
      <c r="C18" s="169" t="s">
        <v>111</v>
      </c>
      <c r="D18" s="231"/>
      <c r="E18" s="16"/>
    </row>
    <row r="19" spans="1:7">
      <c r="A19" s="174" t="s">
        <v>72</v>
      </c>
      <c r="B19" s="38">
        <f>aantalw2001_ander</f>
        <v>3</v>
      </c>
      <c r="C19" s="169" t="s">
        <v>111</v>
      </c>
      <c r="D19" s="232"/>
      <c r="E19" s="16"/>
    </row>
    <row r="20" spans="1:7">
      <c r="A20" s="174" t="s">
        <v>73</v>
      </c>
      <c r="B20" s="38">
        <f>aantalw2001_propaan</f>
        <v>71</v>
      </c>
      <c r="C20" s="170">
        <f>IF(ISERROR(B20/SUM($B$20,$B$21,$B$22)*100),0,B20/SUM($B$20,$B$21,$B$22)*100)</f>
        <v>19.943820224719101</v>
      </c>
      <c r="D20" s="232"/>
      <c r="E20" s="16"/>
    </row>
    <row r="21" spans="1:7">
      <c r="A21" s="174" t="s">
        <v>74</v>
      </c>
      <c r="B21" s="38">
        <f>aantalw2001_elektriciteit</f>
        <v>218</v>
      </c>
      <c r="C21" s="170">
        <f>IF(ISERROR(B21/SUM($B$20,$B$21,$B$22)*100),0,B21/SUM($B$20,$B$21,$B$22)*100)</f>
        <v>61.235955056179783</v>
      </c>
      <c r="D21" s="232"/>
      <c r="E21" s="16"/>
    </row>
    <row r="22" spans="1:7">
      <c r="A22" s="174" t="s">
        <v>75</v>
      </c>
      <c r="B22" s="38">
        <f>aantalw2001_hout</f>
        <v>67</v>
      </c>
      <c r="C22" s="170">
        <f>IF(ISERROR(B22/SUM($B$20,$B$21,$B$22)*100),0,B22/SUM($B$20,$B$21,$B$22)*100)</f>
        <v>18.820224719101123</v>
      </c>
      <c r="D22" s="232"/>
      <c r="E22" s="16"/>
    </row>
    <row r="23" spans="1:7">
      <c r="A23" s="174" t="s">
        <v>76</v>
      </c>
      <c r="B23" s="38">
        <f>aantalw2001_niet_gespec</f>
        <v>49</v>
      </c>
      <c r="C23" s="169" t="s">
        <v>111</v>
      </c>
      <c r="D23" s="231"/>
      <c r="E23" s="16"/>
    </row>
    <row r="24" spans="1:7">
      <c r="A24" s="174" t="s">
        <v>77</v>
      </c>
      <c r="B24" s="38">
        <f>aantalw2001_steenkool</f>
        <v>75</v>
      </c>
      <c r="C24" s="169" t="s">
        <v>111</v>
      </c>
      <c r="D24" s="232"/>
      <c r="E24" s="16"/>
    </row>
    <row r="25" spans="1:7">
      <c r="A25" s="174" t="s">
        <v>78</v>
      </c>
      <c r="B25" s="38">
        <f>aantalw2001_stookolie</f>
        <v>3050</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4764</v>
      </c>
      <c r="C28" s="37"/>
      <c r="D28" s="231"/>
    </row>
    <row r="29" spans="1:7" s="16" customFormat="1">
      <c r="A29" s="233" t="s">
        <v>666</v>
      </c>
      <c r="B29" s="38">
        <f>SUM(HH_hh_gas_aantal,HH_rest_gas_aantal)</f>
        <v>2068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2068</v>
      </c>
      <c r="C32" s="170">
        <f>IF(ISERROR(B32/SUM($B$32,$B$34,$B$35,$B$36,$B$38,$B$39)*100),0,B32/SUM($B$32,$B$34,$B$35,$B$36,$B$38,$B$39)*100)</f>
        <v>43.555181128896372</v>
      </c>
      <c r="D32" s="236"/>
      <c r="G32" s="16"/>
    </row>
    <row r="33" spans="1:7">
      <c r="A33" s="174" t="s">
        <v>72</v>
      </c>
      <c r="B33" s="35" t="s">
        <v>111</v>
      </c>
      <c r="C33" s="170"/>
      <c r="D33" s="236"/>
      <c r="G33" s="16"/>
    </row>
    <row r="34" spans="1:7">
      <c r="A34" s="174" t="s">
        <v>73</v>
      </c>
      <c r="B34" s="34">
        <f>IF((($B$28-$B$32-$B$39-$B$77-$B$38)*C20/100)&lt;0,0,($B$28-$B$32-$B$39-$B$77-$B$38)*C20/100)</f>
        <v>208.37303370786515</v>
      </c>
      <c r="C34" s="170">
        <f>IF(ISERROR(B34/SUM($B$32,$B$34,$B$35,$B$36,$B$38,$B$39)*100),0,B34/SUM($B$32,$B$34,$B$35,$B$36,$B$38,$B$39)*100)</f>
        <v>4.3886485616652307</v>
      </c>
      <c r="D34" s="236"/>
      <c r="G34" s="16"/>
    </row>
    <row r="35" spans="1:7">
      <c r="A35" s="174" t="s">
        <v>74</v>
      </c>
      <c r="B35" s="34">
        <f>IF((($B$28-$B$32-$B$39-$B$77-$B$38)*C21/100)&lt;0,0,($B$28-$B$32-$B$39-$B$77-$B$38)*C21/100)</f>
        <v>639.7932584269663</v>
      </c>
      <c r="C35" s="170">
        <f>IF(ISERROR(B35/SUM($B$32,$B$34,$B$35,$B$36,$B$38,$B$39)*100),0,B35/SUM($B$32,$B$34,$B$35,$B$36,$B$38,$B$39)*100)</f>
        <v>13.475005442859441</v>
      </c>
      <c r="D35" s="236"/>
      <c r="G35" s="16"/>
    </row>
    <row r="36" spans="1:7">
      <c r="A36" s="174" t="s">
        <v>75</v>
      </c>
      <c r="B36" s="34">
        <f>IF((($B$28-$B$32-$B$39-$B$77-$B$38)*C22/100)&lt;0,0,($B$28-$B$32-$B$39-$B$77-$B$38)*C22/100)</f>
        <v>196.63370786516853</v>
      </c>
      <c r="C36" s="170">
        <f>IF(ISERROR(B36/SUM($B$32,$B$34,$B$35,$B$36,$B$38,$B$39)*100),0,B36/SUM($B$32,$B$34,$B$35,$B$36,$B$38,$B$39)*100)</f>
        <v>4.1414007553742316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1635.2</v>
      </c>
      <c r="C39" s="170">
        <f>IF(ISERROR(B39/SUM($B$32,$B$34,$B$35,$B$36,$B$38,$B$39)*100),0,B39/SUM($B$32,$B$34,$B$35,$B$36,$B$38,$B$39)*100)</f>
        <v>34.439764111204717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2068</v>
      </c>
      <c r="C44" s="35" t="s">
        <v>111</v>
      </c>
      <c r="D44" s="177"/>
    </row>
    <row r="45" spans="1:7">
      <c r="A45" s="174" t="s">
        <v>72</v>
      </c>
      <c r="B45" s="34" t="str">
        <f t="shared" si="0"/>
        <v>-</v>
      </c>
      <c r="C45" s="35" t="s">
        <v>111</v>
      </c>
      <c r="D45" s="177"/>
    </row>
    <row r="46" spans="1:7">
      <c r="A46" s="174" t="s">
        <v>73</v>
      </c>
      <c r="B46" s="34">
        <f t="shared" si="0"/>
        <v>208.37303370786515</v>
      </c>
      <c r="C46" s="35" t="s">
        <v>111</v>
      </c>
      <c r="D46" s="177"/>
    </row>
    <row r="47" spans="1:7">
      <c r="A47" s="174" t="s">
        <v>74</v>
      </c>
      <c r="B47" s="34">
        <f t="shared" si="0"/>
        <v>639.7932584269663</v>
      </c>
      <c r="C47" s="35" t="s">
        <v>111</v>
      </c>
      <c r="D47" s="177"/>
    </row>
    <row r="48" spans="1:7">
      <c r="A48" s="174" t="s">
        <v>75</v>
      </c>
      <c r="B48" s="34">
        <f t="shared" si="0"/>
        <v>196.63370786516853</v>
      </c>
      <c r="C48" s="34">
        <f>B48*10</f>
        <v>1966.3370786516853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1635.2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7843.9419999999991</v>
      </c>
      <c r="C5" s="18">
        <f>IF(ISERROR('Eigen informatie GS &amp; warmtenet'!B58),0,'Eigen informatie GS &amp; warmtenet'!B58)</f>
        <v>0</v>
      </c>
      <c r="D5" s="31">
        <f>SUM(D6:D12)</f>
        <v>3680.3070260000004</v>
      </c>
      <c r="E5" s="18">
        <f>SUM(E6:E12)</f>
        <v>85.379341848432759</v>
      </c>
      <c r="F5" s="18">
        <f>SUM(F6:F12)</f>
        <v>1630.49820573897</v>
      </c>
      <c r="G5" s="19"/>
      <c r="H5" s="18"/>
      <c r="I5" s="18"/>
      <c r="J5" s="18">
        <f>SUM(J6:J12)</f>
        <v>0</v>
      </c>
      <c r="K5" s="18"/>
      <c r="L5" s="18"/>
      <c r="M5" s="18"/>
      <c r="N5" s="18">
        <f>SUM(N6:N12)</f>
        <v>531.26947128787515</v>
      </c>
      <c r="O5" s="18">
        <f>B38*B39*B40</f>
        <v>0</v>
      </c>
      <c r="P5" s="18">
        <f>B46*B47*B48/1000-B46*B47*B48/1000/B49</f>
        <v>0</v>
      </c>
      <c r="R5" s="33"/>
    </row>
    <row r="6" spans="1:18">
      <c r="A6" s="33" t="s">
        <v>54</v>
      </c>
      <c r="B6" s="38">
        <f>B26</f>
        <v>2134.4470000000001</v>
      </c>
      <c r="C6" s="34"/>
      <c r="D6" s="38">
        <f>IF(ISERROR(TER_kantoor_gas_kWh/1000),0,TER_kantoor_gas_kWh/1000)*0.902</f>
        <v>932.52819</v>
      </c>
      <c r="E6" s="34">
        <f>$C$26*'E Balans VL '!I12/100/3.6*1000000</f>
        <v>3.5030601278578271</v>
      </c>
      <c r="F6" s="34">
        <f>$C$26*('E Balans VL '!L12+'E Balans VL '!N12)/100/3.6*1000000</f>
        <v>251.60108048930826</v>
      </c>
      <c r="G6" s="35"/>
      <c r="H6" s="34"/>
      <c r="I6" s="34"/>
      <c r="J6" s="34">
        <f>$C$26*('E Balans VL '!D12+'E Balans VL '!E12)/100/3.6*1000000</f>
        <v>0</v>
      </c>
      <c r="K6" s="34"/>
      <c r="L6" s="34"/>
      <c r="M6" s="34"/>
      <c r="N6" s="34">
        <f>$C$26*'E Balans VL '!Y12/100/3.6*1000000</f>
        <v>0.43125490891598572</v>
      </c>
      <c r="O6" s="34"/>
      <c r="P6" s="34"/>
      <c r="R6" s="33"/>
    </row>
    <row r="7" spans="1:18">
      <c r="A7" s="33" t="s">
        <v>53</v>
      </c>
      <c r="B7" s="38">
        <f t="shared" ref="B7:B12" si="0">B27</f>
        <v>1112.336</v>
      </c>
      <c r="C7" s="34"/>
      <c r="D7" s="38">
        <f>IF(ISERROR(TER_horeca_gas_kWh/1000),0,TER_horeca_gas_kWh/1000)*0.902</f>
        <v>642.28804200000002</v>
      </c>
      <c r="E7" s="34">
        <f>$C$27*'E Balans VL '!I9/100/3.6*1000000</f>
        <v>57.722189364461059</v>
      </c>
      <c r="F7" s="34">
        <f>$C$27*('E Balans VL '!L9+'E Balans VL '!N9)/100/3.6*1000000</f>
        <v>253.83588231500181</v>
      </c>
      <c r="G7" s="35"/>
      <c r="H7" s="34"/>
      <c r="I7" s="34"/>
      <c r="J7" s="34">
        <f>$C$27*('E Balans VL '!D9+'E Balans VL '!E9)/100/3.6*1000000</f>
        <v>0</v>
      </c>
      <c r="K7" s="34"/>
      <c r="L7" s="34"/>
      <c r="M7" s="34"/>
      <c r="N7" s="34">
        <f>$C$27*'E Balans VL '!Y9/100/3.6*1000000</f>
        <v>0.11746217184978892</v>
      </c>
      <c r="O7" s="34"/>
      <c r="P7" s="34"/>
      <c r="R7" s="33"/>
    </row>
    <row r="8" spans="1:18">
      <c r="A8" s="6" t="s">
        <v>52</v>
      </c>
      <c r="B8" s="38">
        <f t="shared" si="0"/>
        <v>3036.5909999999999</v>
      </c>
      <c r="C8" s="34"/>
      <c r="D8" s="38">
        <f>IF(ISERROR(TER_handel_gas_kWh/1000),0,TER_handel_gas_kWh/1000)*0.902</f>
        <v>913.33723799999996</v>
      </c>
      <c r="E8" s="34">
        <f>$C$28*'E Balans VL '!I13/100/3.6*1000000</f>
        <v>16.352415682438597</v>
      </c>
      <c r="F8" s="34">
        <f>$C$28*('E Balans VL '!L13+'E Balans VL '!N13)/100/3.6*1000000</f>
        <v>619.25114425695324</v>
      </c>
      <c r="G8" s="35"/>
      <c r="H8" s="34"/>
      <c r="I8" s="34"/>
      <c r="J8" s="34">
        <f>$C$28*('E Balans VL '!D13+'E Balans VL '!E13)/100/3.6*1000000</f>
        <v>0</v>
      </c>
      <c r="K8" s="34"/>
      <c r="L8" s="34"/>
      <c r="M8" s="34"/>
      <c r="N8" s="34">
        <f>$C$28*'E Balans VL '!Y13/100/3.6*1000000</f>
        <v>15.099363465236335</v>
      </c>
      <c r="O8" s="34"/>
      <c r="P8" s="34"/>
      <c r="R8" s="33"/>
    </row>
    <row r="9" spans="1:18">
      <c r="A9" s="33" t="s">
        <v>51</v>
      </c>
      <c r="B9" s="38">
        <f t="shared" si="0"/>
        <v>351.81700000000001</v>
      </c>
      <c r="C9" s="34"/>
      <c r="D9" s="38">
        <f>IF(ISERROR(TER_gezond_gas_kWh/1000),0,TER_gezond_gas_kWh/1000)*0.902</f>
        <v>135.19266200000001</v>
      </c>
      <c r="E9" s="34">
        <f>$C$29*'E Balans VL '!I10/100/3.6*1000000</f>
        <v>0.34865464784636607</v>
      </c>
      <c r="F9" s="34">
        <f>$C$29*('E Balans VL '!L10+'E Balans VL '!N10)/100/3.6*1000000</f>
        <v>122.07035826401781</v>
      </c>
      <c r="G9" s="35"/>
      <c r="H9" s="34"/>
      <c r="I9" s="34"/>
      <c r="J9" s="34">
        <f>$C$29*('E Balans VL '!D10+'E Balans VL '!E10)/100/3.6*1000000</f>
        <v>0</v>
      </c>
      <c r="K9" s="34"/>
      <c r="L9" s="34"/>
      <c r="M9" s="34"/>
      <c r="N9" s="34">
        <f>$C$29*'E Balans VL '!Y10/100/3.6*1000000</f>
        <v>3.03157661123941</v>
      </c>
      <c r="O9" s="34"/>
      <c r="P9" s="34"/>
      <c r="R9" s="33"/>
    </row>
    <row r="10" spans="1:18">
      <c r="A10" s="33" t="s">
        <v>50</v>
      </c>
      <c r="B10" s="38">
        <f t="shared" si="0"/>
        <v>886.75699999999995</v>
      </c>
      <c r="C10" s="34"/>
      <c r="D10" s="38">
        <f>IF(ISERROR(TER_ander_gas_kWh/1000),0,TER_ander_gas_kWh/1000)*0.902</f>
        <v>311.530956</v>
      </c>
      <c r="E10" s="34">
        <f>$C$30*'E Balans VL '!I14/100/3.6*1000000</f>
        <v>7.2545585105046548</v>
      </c>
      <c r="F10" s="34">
        <f>$C$30*('E Balans VL '!L14+'E Balans VL '!N14)/100/3.6*1000000</f>
        <v>259.25164542733751</v>
      </c>
      <c r="G10" s="35"/>
      <c r="H10" s="34"/>
      <c r="I10" s="34"/>
      <c r="J10" s="34">
        <f>$C$30*('E Balans VL '!D14+'E Balans VL '!E14)/100/3.6*1000000</f>
        <v>0</v>
      </c>
      <c r="K10" s="34"/>
      <c r="L10" s="34"/>
      <c r="M10" s="34"/>
      <c r="N10" s="34">
        <f>$C$30*'E Balans VL '!Y14/100/3.6*1000000</f>
        <v>511.5424366504746</v>
      </c>
      <c r="O10" s="34"/>
      <c r="P10" s="34"/>
      <c r="R10" s="33"/>
    </row>
    <row r="11" spans="1:18">
      <c r="A11" s="33" t="s">
        <v>55</v>
      </c>
      <c r="B11" s="38">
        <f t="shared" si="0"/>
        <v>321.99400000000003</v>
      </c>
      <c r="C11" s="34"/>
      <c r="D11" s="38">
        <f>IF(ISERROR(TER_onderwijs_gas_kWh/1000),0,TER_onderwijs_gas_kWh/1000)*0.902</f>
        <v>745.42993799999999</v>
      </c>
      <c r="E11" s="34">
        <f>$C$31*'E Balans VL '!I11/100/3.6*1000000</f>
        <v>0.19846351532426987</v>
      </c>
      <c r="F11" s="34">
        <f>$C$31*('E Balans VL '!L11+'E Balans VL '!N11)/100/3.6*1000000</f>
        <v>124.48809498635137</v>
      </c>
      <c r="G11" s="35"/>
      <c r="H11" s="34"/>
      <c r="I11" s="34"/>
      <c r="J11" s="34">
        <f>$C$31*('E Balans VL '!D11+'E Balans VL '!E11)/100/3.6*1000000</f>
        <v>0</v>
      </c>
      <c r="K11" s="34"/>
      <c r="L11" s="34"/>
      <c r="M11" s="34"/>
      <c r="N11" s="34">
        <f>$C$31*'E Balans VL '!Y11/100/3.6*1000000</f>
        <v>1.0473774801590892</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7843.9419999999991</v>
      </c>
      <c r="C16" s="22">
        <f t="shared" ca="1" si="1"/>
        <v>0</v>
      </c>
      <c r="D16" s="22">
        <f t="shared" ca="1" si="1"/>
        <v>3680.3070260000004</v>
      </c>
      <c r="E16" s="22">
        <f t="shared" si="1"/>
        <v>85.379341848432759</v>
      </c>
      <c r="F16" s="22">
        <f t="shared" ca="1" si="1"/>
        <v>1630.49820573897</v>
      </c>
      <c r="G16" s="22">
        <f t="shared" si="1"/>
        <v>0</v>
      </c>
      <c r="H16" s="22">
        <f t="shared" si="1"/>
        <v>0</v>
      </c>
      <c r="I16" s="22">
        <f t="shared" si="1"/>
        <v>0</v>
      </c>
      <c r="J16" s="22">
        <f t="shared" si="1"/>
        <v>0</v>
      </c>
      <c r="K16" s="22">
        <f t="shared" si="1"/>
        <v>0</v>
      </c>
      <c r="L16" s="22">
        <f t="shared" ca="1" si="1"/>
        <v>0</v>
      </c>
      <c r="M16" s="22">
        <f t="shared" si="1"/>
        <v>0</v>
      </c>
      <c r="N16" s="22">
        <f t="shared" ca="1" si="1"/>
        <v>531.26947128787515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0.1921544499767216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1507.2483606593055</v>
      </c>
      <c r="C20" s="24">
        <f t="shared" ref="C20:P20" ca="1" si="2">C16*C18</f>
        <v>0</v>
      </c>
      <c r="D20" s="24">
        <f t="shared" ca="1" si="2"/>
        <v>743.42201925200015</v>
      </c>
      <c r="E20" s="24">
        <f t="shared" si="2"/>
        <v>19.381110599594237</v>
      </c>
      <c r="F20" s="24">
        <f t="shared" ca="1" si="2"/>
        <v>435.34302093230502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2134.4470000000001</v>
      </c>
      <c r="C26" s="40">
        <f>IF(ISERROR(B26*3.6/1000000/'E Balans VL '!Z12*100),0,B26*3.6/1000000/'E Balans VL '!Z12*100)</f>
        <v>4.535546807179517E-2</v>
      </c>
      <c r="D26" s="240" t="s">
        <v>707</v>
      </c>
      <c r="F26" s="6"/>
    </row>
    <row r="27" spans="1:18">
      <c r="A27" s="234" t="s">
        <v>53</v>
      </c>
      <c r="B27" s="34">
        <f>IF(ISERROR(TER_horeca_ele_kWh/1000),0,TER_horeca_ele_kWh/1000)</f>
        <v>1112.336</v>
      </c>
      <c r="C27" s="40">
        <f>IF(ISERROR(B27*3.6/1000000/'E Balans VL '!Z9*100),0,B27*3.6/1000000/'E Balans VL '!Z9*100)</f>
        <v>8.7549444856985542E-2</v>
      </c>
      <c r="D27" s="240" t="s">
        <v>707</v>
      </c>
      <c r="F27" s="6"/>
    </row>
    <row r="28" spans="1:18">
      <c r="A28" s="174" t="s">
        <v>52</v>
      </c>
      <c r="B28" s="34">
        <f>IF(ISERROR(TER_handel_ele_kWh/1000),0,TER_handel_ele_kWh/1000)</f>
        <v>3036.5909999999999</v>
      </c>
      <c r="C28" s="40">
        <f>IF(ISERROR(B28*3.6/1000000/'E Balans VL '!Z13*100),0,B28*3.6/1000000/'E Balans VL '!Z13*100)</f>
        <v>8.5056539029343958E-2</v>
      </c>
      <c r="D28" s="240" t="s">
        <v>707</v>
      </c>
      <c r="F28" s="6"/>
    </row>
    <row r="29" spans="1:18">
      <c r="A29" s="234" t="s">
        <v>51</v>
      </c>
      <c r="B29" s="34">
        <f>IF(ISERROR(TER_gezond_ele_kWh/1000),0,TER_gezond_ele_kWh/1000)</f>
        <v>351.81700000000001</v>
      </c>
      <c r="C29" s="40">
        <f>IF(ISERROR(B29*3.6/1000000/'E Balans VL '!Z10*100),0,B29*3.6/1000000/'E Balans VL '!Z10*100)</f>
        <v>4.5008032817620183E-2</v>
      </c>
      <c r="D29" s="240" t="s">
        <v>707</v>
      </c>
      <c r="F29" s="6"/>
    </row>
    <row r="30" spans="1:18">
      <c r="A30" s="234" t="s">
        <v>50</v>
      </c>
      <c r="B30" s="34">
        <f>IF(ISERROR(TER_ander_ele_kWh/1000),0,TER_ander_ele_kWh/1000)</f>
        <v>886.75699999999995</v>
      </c>
      <c r="C30" s="40">
        <f>IF(ISERROR(B30*3.6/1000000/'E Balans VL '!Z14*100),0,B30*3.6/1000000/'E Balans VL '!Z14*100)</f>
        <v>6.6321951654991329E-2</v>
      </c>
      <c r="D30" s="240" t="s">
        <v>707</v>
      </c>
      <c r="F30" s="6"/>
    </row>
    <row r="31" spans="1:18">
      <c r="A31" s="234" t="s">
        <v>55</v>
      </c>
      <c r="B31" s="34">
        <f>IF(ISERROR(TER_onderwijs_ele_kWh/1000),0,TER_onderwijs_ele_kWh/1000)</f>
        <v>321.99400000000003</v>
      </c>
      <c r="C31" s="40">
        <f>IF(ISERROR(B31*3.6/1000000/'E Balans VL '!Z11*100),0,B31*3.6/1000000/'E Balans VL '!Z11*100)</f>
        <v>6.7989450188840575E-2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3083.6789999999996</v>
      </c>
      <c r="C5" s="18">
        <f>IF(ISERROR('Eigen informatie GS &amp; warmtenet'!B59),0,'Eigen informatie GS &amp; warmtenet'!B59)</f>
        <v>0</v>
      </c>
      <c r="D5" s="31">
        <f>SUM(D6:D15)</f>
        <v>2133.0703459999995</v>
      </c>
      <c r="E5" s="18">
        <f>SUM(E6:E15)</f>
        <v>23.457701966977627</v>
      </c>
      <c r="F5" s="18">
        <f>SUM(F6:F15)</f>
        <v>1385.1582060376932</v>
      </c>
      <c r="G5" s="19"/>
      <c r="H5" s="18"/>
      <c r="I5" s="18"/>
      <c r="J5" s="18">
        <f>SUM(J6:J15)</f>
        <v>18.163395028771589</v>
      </c>
      <c r="K5" s="18"/>
      <c r="L5" s="18"/>
      <c r="M5" s="18"/>
      <c r="N5" s="18">
        <f>SUM(N6:N15)</f>
        <v>126.19328910462129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1043.931</v>
      </c>
      <c r="C8" s="34"/>
      <c r="D8" s="38">
        <f>IF( ISERROR(IND_metaal_Gas_kWH/1000),0,IND_metaal_Gas_kWH/1000)*0.902</f>
        <v>869.048136</v>
      </c>
      <c r="E8" s="34">
        <f>C30*'E Balans VL '!I18/100/3.6*1000000</f>
        <v>9.5068914877366257</v>
      </c>
      <c r="F8" s="34">
        <f>C30*'E Balans VL '!L18/100/3.6*1000000+C30*'E Balans VL '!N18/100/3.6*1000000</f>
        <v>137.68657115182268</v>
      </c>
      <c r="G8" s="35"/>
      <c r="H8" s="34"/>
      <c r="I8" s="34"/>
      <c r="J8" s="41">
        <f>C30*'E Balans VL '!D18/100/3.6*1000000+C30*'E Balans VL '!E18/100/3.6*1000000</f>
        <v>17.118952666767921</v>
      </c>
      <c r="K8" s="34"/>
      <c r="L8" s="34"/>
      <c r="M8" s="34"/>
      <c r="N8" s="34">
        <f>C30*'E Balans VL '!Y18/100/3.6*1000000</f>
        <v>3.5875761464740377</v>
      </c>
      <c r="O8" s="34"/>
      <c r="P8" s="34"/>
      <c r="R8" s="33"/>
    </row>
    <row r="9" spans="1:18">
      <c r="A9" s="6" t="s">
        <v>33</v>
      </c>
      <c r="B9" s="38">
        <f t="shared" si="0"/>
        <v>1468.9839999999999</v>
      </c>
      <c r="C9" s="34"/>
      <c r="D9" s="38">
        <f>IF( ISERROR(IND_andere_gas_kWh/1000),0,IND_andere_gas_kWh/1000)*0.902</f>
        <v>1046.6329940000001</v>
      </c>
      <c r="E9" s="34">
        <f>C31*'E Balans VL '!I19/100/3.6*1000000</f>
        <v>8.4909470415015207</v>
      </c>
      <c r="F9" s="34">
        <f>C31*'E Balans VL '!L19/100/3.6*1000000+C31*'E Balans VL '!N19/100/3.6*1000000</f>
        <v>1168.6474567129828</v>
      </c>
      <c r="G9" s="35"/>
      <c r="H9" s="34"/>
      <c r="I9" s="34"/>
      <c r="J9" s="41">
        <f>C31*'E Balans VL '!D19/100/3.6*1000000+C31*'E Balans VL '!E19/100/3.6*1000000</f>
        <v>0.13894956938788774</v>
      </c>
      <c r="K9" s="34"/>
      <c r="L9" s="34"/>
      <c r="M9" s="34"/>
      <c r="N9" s="34">
        <f>C31*'E Balans VL '!Y19/100/3.6*1000000</f>
        <v>111.29776858621803</v>
      </c>
      <c r="O9" s="34"/>
      <c r="P9" s="34"/>
      <c r="R9" s="33"/>
    </row>
    <row r="10" spans="1:18">
      <c r="A10" s="6" t="s">
        <v>41</v>
      </c>
      <c r="B10" s="38">
        <f t="shared" si="0"/>
        <v>391.00799999999998</v>
      </c>
      <c r="C10" s="34"/>
      <c r="D10" s="38">
        <f>IF( ISERROR(IND_voed_gas_kWh/1000),0,IND_voed_gas_kWh/1000)*0.902</f>
        <v>209.172898</v>
      </c>
      <c r="E10" s="34">
        <f>C32*'E Balans VL '!I20/100/3.6*1000000</f>
        <v>3.8446315760932617</v>
      </c>
      <c r="F10" s="34">
        <f>C32*'E Balans VL '!L20/100/3.6*1000000+C32*'E Balans VL '!N20/100/3.6*1000000</f>
        <v>43.426542088378262</v>
      </c>
      <c r="G10" s="35"/>
      <c r="H10" s="34"/>
      <c r="I10" s="34"/>
      <c r="J10" s="41">
        <f>C32*'E Balans VL '!D20/100/3.6*1000000+C32*'E Balans VL '!E20/100/3.6*1000000</f>
        <v>1.5411400349509977E-3</v>
      </c>
      <c r="K10" s="34"/>
      <c r="L10" s="34"/>
      <c r="M10" s="34"/>
      <c r="N10" s="34">
        <f>C32*'E Balans VL '!Y20/100/3.6*1000000</f>
        <v>5.7899087322354781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179.756</v>
      </c>
      <c r="C15" s="34"/>
      <c r="D15" s="38">
        <f>IF( ISERROR(IND_rest_gas_kWh/1000),0,IND_rest_gas_kWh/1000)*0.902</f>
        <v>8.2163179999999993</v>
      </c>
      <c r="E15" s="34">
        <f>C37*'E Balans VL '!I15/100/3.6*1000000</f>
        <v>1.6152318616462205</v>
      </c>
      <c r="F15" s="34">
        <f>C37*'E Balans VL '!L15/100/3.6*1000000+C37*'E Balans VL '!N15/100/3.6*1000000</f>
        <v>35.397636084509521</v>
      </c>
      <c r="G15" s="35"/>
      <c r="H15" s="34"/>
      <c r="I15" s="34"/>
      <c r="J15" s="41">
        <f>C37*'E Balans VL '!D15/100/3.6*1000000+C37*'E Balans VL '!E15/100/3.6*1000000</f>
        <v>0.9039516525808301</v>
      </c>
      <c r="K15" s="34"/>
      <c r="L15" s="34"/>
      <c r="M15" s="34"/>
      <c r="N15" s="34">
        <f>C37*'E Balans VL '!Y15/100/3.6*1000000</f>
        <v>5.518035639693748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3083.6789999999996</v>
      </c>
      <c r="C18" s="22">
        <f>C5+C16</f>
        <v>0</v>
      </c>
      <c r="D18" s="22">
        <f>MAX((D5+D16),0)</f>
        <v>2133.0703459999995</v>
      </c>
      <c r="E18" s="22">
        <f>MAX((E5+E16),0)</f>
        <v>23.457701966977627</v>
      </c>
      <c r="F18" s="22">
        <f>MAX((F5+F16),0)</f>
        <v>1385.1582060376932</v>
      </c>
      <c r="G18" s="22"/>
      <c r="H18" s="22"/>
      <c r="I18" s="22"/>
      <c r="J18" s="22">
        <f>MAX((J5+J16),0)</f>
        <v>18.163395028771589</v>
      </c>
      <c r="K18" s="22"/>
      <c r="L18" s="22">
        <f>MAX((L5+L16),0)</f>
        <v>0</v>
      </c>
      <c r="M18" s="22"/>
      <c r="N18" s="22">
        <f>MAX((N5+N16),0)</f>
        <v>126.19328910462129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0.1921544499767216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592.54264214976683</v>
      </c>
      <c r="C22" s="24">
        <f ca="1">C18*C20</f>
        <v>0</v>
      </c>
      <c r="D22" s="24">
        <f>D18*D20</f>
        <v>430.88020989199993</v>
      </c>
      <c r="E22" s="24">
        <f>E18*E20</f>
        <v>5.3248983465039217</v>
      </c>
      <c r="F22" s="24">
        <f>F18*F20</f>
        <v>369.83724101206411</v>
      </c>
      <c r="G22" s="24"/>
      <c r="H22" s="24"/>
      <c r="I22" s="24"/>
      <c r="J22" s="24">
        <f>J18*J20</f>
        <v>6.4298418401851425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1043.931</v>
      </c>
      <c r="C30" s="40">
        <f>IF(ISERROR(B30*3.6/1000000/'E Balans VL '!Z18*100),0,B30*3.6/1000000/'E Balans VL '!Z18*100)</f>
        <v>5.8087779443295656E-2</v>
      </c>
      <c r="D30" s="240" t="s">
        <v>707</v>
      </c>
    </row>
    <row r="31" spans="1:18">
      <c r="A31" s="6" t="s">
        <v>33</v>
      </c>
      <c r="B31" s="38">
        <f>IF( ISERROR(IND_ander_ele_kWh/1000),0,IND_ander_ele_kWh/1000)</f>
        <v>1468.9839999999999</v>
      </c>
      <c r="C31" s="40">
        <f>IF(ISERROR(B31*3.6/1000000/'E Balans VL '!Z19*100),0,B31*3.6/1000000/'E Balans VL '!Z19*100)</f>
        <v>6.8289208163330492E-2</v>
      </c>
      <c r="D31" s="240" t="s">
        <v>707</v>
      </c>
    </row>
    <row r="32" spans="1:18">
      <c r="A32" s="174" t="s">
        <v>41</v>
      </c>
      <c r="B32" s="38">
        <f>IF( ISERROR(IND_voed_ele_kWh/1000),0,IND_voed_ele_kWh/1000)</f>
        <v>391.00799999999998</v>
      </c>
      <c r="C32" s="40">
        <f>IF(ISERROR(B32*3.6/1000000/'E Balans VL '!Z20*100),0,B32*3.6/1000000/'E Balans VL '!Z20*100)</f>
        <v>1.3821343125900956E-2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179.756</v>
      </c>
      <c r="C37" s="40">
        <f>IF(ISERROR(B37*3.6/1000000/'E Balans VL '!Z15*100),0,B37*3.6/1000000/'E Balans VL '!Z15*100)</f>
        <v>1.3574233397655872E-3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494.202</v>
      </c>
      <c r="C5" s="18">
        <f>'Eigen informatie GS &amp; warmtenet'!B60</f>
        <v>0</v>
      </c>
      <c r="D5" s="31">
        <f>IF(ISERROR(SUM(LB_lb_gas_kWh,LB_rest_gas_kWh)/1000),0,SUM(LB_lb_gas_kWh,LB_rest_gas_kWh)/1000)*0.902</f>
        <v>866.07063400000004</v>
      </c>
      <c r="E5" s="18">
        <f>B17*'E Balans VL '!I25/3.6*1000000/100</f>
        <v>4.6557139662019642</v>
      </c>
      <c r="F5" s="18">
        <f>B17*('E Balans VL '!L25/3.6*1000000+'E Balans VL '!N25/3.6*1000000)/100</f>
        <v>1612.7451372397977</v>
      </c>
      <c r="G5" s="19"/>
      <c r="H5" s="18"/>
      <c r="I5" s="18"/>
      <c r="J5" s="18">
        <f>('E Balans VL '!D25+'E Balans VL '!E25)/3.6*1000000*landbouw!B17/100</f>
        <v>61.135191198066238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494.202</v>
      </c>
      <c r="C8" s="22">
        <f>C5+C6</f>
        <v>0</v>
      </c>
      <c r="D8" s="22">
        <f>MAX((D5+D6),0)</f>
        <v>866.07063400000004</v>
      </c>
      <c r="E8" s="22">
        <f>MAX((E5+E6),0)</f>
        <v>4.6557139662019642</v>
      </c>
      <c r="F8" s="22">
        <f>MAX((F5+F6),0)</f>
        <v>1612.7451372397977</v>
      </c>
      <c r="G8" s="22"/>
      <c r="H8" s="22"/>
      <c r="I8" s="22"/>
      <c r="J8" s="22">
        <f>MAX((J5+J6),0)</f>
        <v>61.135191198066238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0.1921544499767216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94.963113487395773</v>
      </c>
      <c r="C12" s="24">
        <f ca="1">C8*C10</f>
        <v>0</v>
      </c>
      <c r="D12" s="24">
        <f>D8*D10</f>
        <v>174.94626806800002</v>
      </c>
      <c r="E12" s="24">
        <f>E8*E10</f>
        <v>1.0568470703278459</v>
      </c>
      <c r="F12" s="24">
        <f>F8*F10</f>
        <v>430.60295164302602</v>
      </c>
      <c r="G12" s="24"/>
      <c r="H12" s="24"/>
      <c r="I12" s="24"/>
      <c r="J12" s="24">
        <f>J8*J10</f>
        <v>21.641857684115447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6.69070537044862E-2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76.522461747347378</v>
      </c>
      <c r="C26" s="250">
        <f>B26*'GWP N2O_CH4'!B5</f>
        <v>1606.9716966942949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29.447717062275437</v>
      </c>
      <c r="C27" s="250">
        <f>B27*'GWP N2O_CH4'!B5</f>
        <v>618.40205830778416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1.0595315052672587</v>
      </c>
      <c r="C28" s="250">
        <f>B28*'GWP N2O_CH4'!B4</f>
        <v>328.45476663285018</v>
      </c>
      <c r="D28" s="51"/>
    </row>
    <row r="29" spans="1:4">
      <c r="A29" s="42" t="s">
        <v>277</v>
      </c>
      <c r="B29" s="250">
        <f>B34*'ha_N2O bodem landbouw'!B4</f>
        <v>10.506770047137589</v>
      </c>
      <c r="C29" s="250">
        <f>B29*'GWP N2O_CH4'!B4</f>
        <v>3257.0987146126527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2.8364971568024563E-3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9.8480580295984871E-6</v>
      </c>
      <c r="C5" s="447" t="s">
        <v>211</v>
      </c>
      <c r="D5" s="432">
        <f>SUM(D6:D11)</f>
        <v>2.5405972716845861E-5</v>
      </c>
      <c r="E5" s="432">
        <f>SUM(E6:E11)</f>
        <v>1.4909263865397391E-3</v>
      </c>
      <c r="F5" s="445" t="s">
        <v>211</v>
      </c>
      <c r="G5" s="432">
        <f>SUM(G6:G11)</f>
        <v>0.32296677146756442</v>
      </c>
      <c r="H5" s="432">
        <f>SUM(H6:H11)</f>
        <v>5.6805028707299601E-2</v>
      </c>
      <c r="I5" s="447" t="s">
        <v>211</v>
      </c>
      <c r="J5" s="447" t="s">
        <v>211</v>
      </c>
      <c r="K5" s="447" t="s">
        <v>211</v>
      </c>
      <c r="L5" s="447" t="s">
        <v>211</v>
      </c>
      <c r="M5" s="432">
        <f>SUM(M6:M11)</f>
        <v>1.6980263232248514E-2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9.1484258060386926E-6</v>
      </c>
      <c r="C6" s="433"/>
      <c r="D6" s="433">
        <f>vkm_2011_GW_PW*SUMIFS(TableVerdeelsleutelVkm[CNG],TableVerdeelsleutelVkm[Voertuigtype],"Lichte voertuigen")*SUMIFS(TableECFTransport[EnergieConsumptieFactor (PJ per km)],TableECFTransport[Index],CONCATENATE($A6,"_CNG_CNG"))</f>
        <v>2.2340609028007292E-5</v>
      </c>
      <c r="E6" s="435">
        <f>vkm_2011_GW_PW*SUMIFS(TableVerdeelsleutelVkm[LPG],TableVerdeelsleutelVkm[Voertuigtype],"Lichte voertuigen")*SUMIFS(TableECFTransport[EnergieConsumptieFactor (PJ per km)],TableECFTransport[Index],CONCATENATE($A6,"_LPG_LPG"))</f>
        <v>1.3242358500176661E-3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0.19143386973720686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5.0169317464922293E-2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1.0819435662470508E-2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0.10812209677155964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4.3623050721086828E-5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4.816805958430476E-3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6.9963222355979501E-7</v>
      </c>
      <c r="C8" s="433"/>
      <c r="D8" s="435">
        <f>vkm_2011_NGW_PW*SUMIFS(TableVerdeelsleutelVkm[CNG],TableVerdeelsleutelVkm[Voertuigtype],"Lichte voertuigen")*SUMIFS(TableECFTransport[EnergieConsumptieFactor (PJ per km)],TableECFTransport[Index],CONCATENATE($A8,"_CNG_CNG"))</f>
        <v>3.0653636888385697E-6</v>
      </c>
      <c r="E8" s="435">
        <f>vkm_2011_NGW_PW*SUMIFS(TableVerdeelsleutelVkm[LPG],TableVerdeelsleutelVkm[Voertuigtype],"Lichte voertuigen")*SUMIFS(TableECFTransport[EnergieConsumptieFactor (PJ per km)],TableECFTransport[Index],CONCATENATE($A8,"_LPG_LPG"))</f>
        <v>1.6669053652207302E-4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2.2764147039983348E-2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6.5918610260784728E-3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1.3152147441444423E-3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6.4665791881457447E-4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2.2716557774897352E-7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2.8806867203085182E-5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2.7355716748884689</v>
      </c>
      <c r="C14" s="22"/>
      <c r="D14" s="22">
        <f t="shared" ref="D14:M14" si="0">((D5)*10^9/3600)+D12</f>
        <v>7.0572146435682939</v>
      </c>
      <c r="E14" s="22">
        <f t="shared" si="0"/>
        <v>414.14621848326084</v>
      </c>
      <c r="F14" s="22"/>
      <c r="G14" s="22">
        <f t="shared" si="0"/>
        <v>89712.99207432344</v>
      </c>
      <c r="H14" s="22">
        <f t="shared" si="0"/>
        <v>15779.174640916557</v>
      </c>
      <c r="I14" s="22"/>
      <c r="J14" s="22"/>
      <c r="K14" s="22"/>
      <c r="L14" s="22"/>
      <c r="M14" s="22">
        <f t="shared" si="0"/>
        <v>4716.7397867356985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0.1921544499767216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0.52565227056009278</v>
      </c>
      <c r="C18" s="24"/>
      <c r="D18" s="24">
        <f t="shared" ref="D18:M18" si="1">D14*D16</f>
        <v>1.4255573580007954</v>
      </c>
      <c r="E18" s="24">
        <f t="shared" si="1"/>
        <v>94.011191595700211</v>
      </c>
      <c r="F18" s="24"/>
      <c r="G18" s="24">
        <f t="shared" si="1"/>
        <v>23953.36888384436</v>
      </c>
      <c r="H18" s="24">
        <f t="shared" si="1"/>
        <v>3929.0144855882227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8.1567729397734687E-3</v>
      </c>
      <c r="H50" s="323">
        <f t="shared" si="2"/>
        <v>0</v>
      </c>
      <c r="I50" s="323">
        <f t="shared" si="2"/>
        <v>0</v>
      </c>
      <c r="J50" s="323">
        <f t="shared" si="2"/>
        <v>0</v>
      </c>
      <c r="K50" s="323">
        <f t="shared" si="2"/>
        <v>0</v>
      </c>
      <c r="L50" s="323">
        <f t="shared" si="2"/>
        <v>0</v>
      </c>
      <c r="M50" s="323">
        <f t="shared" si="2"/>
        <v>3.581773552240695E-4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8.1567729397734687E-3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3.581773552240695E-4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2265.7702610481856</v>
      </c>
      <c r="H54" s="22">
        <f t="shared" si="3"/>
        <v>0</v>
      </c>
      <c r="I54" s="22">
        <f t="shared" si="3"/>
        <v>0</v>
      </c>
      <c r="J54" s="22">
        <f t="shared" si="3"/>
        <v>0</v>
      </c>
      <c r="K54" s="22">
        <f t="shared" si="3"/>
        <v>0</v>
      </c>
      <c r="L54" s="22">
        <f t="shared" si="3"/>
        <v>0</v>
      </c>
      <c r="M54" s="22">
        <f t="shared" si="3"/>
        <v>99.493709784463746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0.1921544499767216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604.96065969986557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4775.7251428160034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4775.7251428160034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2019-08-12T07:56:33Z</dcterms:modified>
</cp:coreProperties>
</file>