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<sst xmlns="http://schemas.openxmlformats.org/spreadsheetml/2006/main" count="2495" uniqueCount="953">
  <si>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</si>
  <si>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</si>
  <si>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</si>
  <si>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</si>
  <si>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</si>
  <si>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</si>
  <si>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</si>
  <si>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</si>
  <si>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</si>
  <si>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</si>
  <si>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</si>
  <si>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</si>
  <si>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</si>
  <si>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</si>
  <si>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</si>
  <si>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</si>
  <si>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</si>
  <si>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</si>
  <si>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</si>
  <si>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</si>
  <si>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</si>
  <si>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</si>
  <si>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</si>
  <si>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</si>
  <si>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</si>
  <si>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</si>
  <si>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</si>
  <si>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</si>
  <si>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</si>
  <si>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</si>
  <si>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</si>
  <si>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</si>
  <si>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</si>
  <si>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</si>
  <si>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</si>
  <si>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</si>
  <si>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</si>
  <si>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</si>
  <si>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</si>
  <si>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</si>
  <si>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</si>
  <si>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</si>
  <si>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</si>
  <si>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</si>
  <si>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</si>
  <si>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</si>
  <si>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</si>
  <si>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</si>
  <si>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</si>
  <si>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</si>
  <si>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</si>
  <si>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</si>
  <si>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</si>
  <si>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</si>
  <si>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</si>
  <si>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</si>
  <si>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</si>
  <si>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</si>
  <si>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</si>
  <si>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</si>
  <si>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</si>
  <si>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</si>
  <si>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</si>
  <si>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</si>
  <si>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</si>
  <si>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</si>
  <si>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</si>
  <si>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</si>
  <si>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</si>
  <si>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</si>
  <si>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</si>
  <si>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</si>
  <si>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</si>
  <si>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</si>
  <si>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</si>
  <si>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</si>
  <si>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</si>
  <si>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</si>
  <si>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</si>
  <si>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</si>
  <si>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</si>
  <si>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</si>
  <si>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</si>
  <si>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</si>
  <si>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</si>
  <si>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</si>
  <si>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</si>
  <si>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</si>
  <si>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</si>
  <si>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</si>
  <si>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</si>
  <si>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</si>
  <si>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</si>
  <si>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</si>
  <si>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</si>
  <si>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</si>
  <si>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</si>
  <si>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</si>
  <si>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</si>
  <si>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</si>
  <si>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</si>
  <si>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</si>
  <si>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</si>
  <si>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</si>
  <si>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</si>
  <si>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</si>
  <si>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</si>
  <si>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</si>
  <si>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</si>
  <si>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</si>
  <si>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</si>
  <si>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</si>
  <si>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</si>
  <si>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</si>
  <si>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</si>
  <si>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</si>
  <si>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</si>
  <si>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</si>
  <si>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</si>
  <si>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</si>
  <si>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</si>
  <si>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</si>
  <si>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</si>
  <si>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</si>
  <si>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</si>
  <si>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</si>
  <si>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</si>
  <si>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</si>
  <si>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</si>
  <si>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</si>
  <si>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</si>
  <si>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</si>
  <si>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</si>
  <si>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</si>
  <si>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</si>
  <si>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</si>
  <si>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</si>
  <si>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</si>
  <si>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</si>
  <si>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</si>
  <si>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</si>
  <si>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</si>
  <si>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</si>
  <si>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</si>
  <si>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</si>
  <si>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</si>
  <si>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</si>
  <si>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</si>
  <si>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</si>
  <si>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</si>
  <si>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</si>
  <si>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</si>
  <si>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</si>
  <si>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</si>
  <si>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</si>
  <si>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</si>
  <si>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</si>
  <si>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</si>
  <si>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</si>
  <si>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</si>
  <si>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</si>
  <si>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</si>
  <si>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</si>
  <si>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</si>
  <si>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</si>
  <si>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</si>
  <si>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</si>
  <si>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</si>
  <si>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</si>
  <si>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</si>
  <si>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</si>
  <si>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</si>
  <si>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</si>
  <si>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</si>
  <si>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</si>
  <si>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</si>
  <si>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</si>
  <si>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</si>
  <si>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</si>
  <si>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</si>
  <si>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</si>
  <si>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</si>
  <si>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</si>
  <si>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</si>
  <si>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</si>
  <si>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</si>
  <si>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</si>
  <si>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</si>
  <si>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</si>
  <si>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</si>
  <si>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</si>
  <si>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</si>
  <si>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</si>
  <si>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</si>
  <si>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</si>
  <si>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</si>
  <si>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</si>
  <si>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</si>
  <si>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</si>
  <si>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</si>
  <si>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</si>
  <si>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</si>
  <si>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</si>
  <si>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</si>
  <si>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</si>
  <si>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</si>
  <si>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</si>
  <si>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</si>
  <si>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</si>
  <si>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</si>
  <si>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</si>
  <si>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</si>
  <si>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</si>
  <si>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</si>
  <si>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</si>
  <si>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</si>
  <si>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</si>
  <si>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</si>
  <si>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</si>
  <si>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</si>
  <si>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</si>
  <si>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</si>
  <si>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</si>
  <si>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</si>
  <si>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</si>
  <si>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</si>
  <si>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</si>
  <si>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</si>
  <si>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</si>
  <si>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</si>
  <si>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</si>
  <si>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</si>
  <si>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</si>
  <si>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</si>
  <si>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</si>
  <si>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</si>
  <si>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</si>
  <si>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</si>
  <si>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</si>
  <si>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</si>
  <si>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</si>
  <si>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</si>
  <si>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</si>
  <si>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</si>
  <si>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</si>
  <si>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</si>
  <si>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</si>
  <si>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</si>
  <si>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</si>
  <si>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</si>
  <si>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</si>
  <si>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</si>
  <si>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</si>
  <si>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</si>
  <si>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</si>
  <si>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</si>
  <si>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</si>
  <si>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</si>
  <si>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</si>
  <si>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</si>
  <si>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</si>
  <si>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</si>
  <si>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</si>
  <si>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</si>
  <si>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</si>
  <si>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</si>
  <si>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</si>
  <si>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</si>
  <si>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</si>
  <si>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</si>
  <si>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</si>
  <si>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</si>
  <si>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</si>
  <si>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</si>
  <si>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</si>
  <si>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</si>
  <si>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</si>
  <si>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</si>
  <si>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</si>
  <si>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</si>
  <si>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</si>
  <si>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</si>
  <si>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</si>
  <si>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</si>
  <si>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</si>
  <si>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</si>
  <si>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</si>
  <si>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</si>
  <si>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</si>
  <si>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</si>
  <si>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</si>
  <si>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</si>
  <si>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</si>
  <si>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</si>
  <si>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</si>
  <si>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</si>
  <si>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</si>
  <si>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</si>
  <si>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</si>
  <si>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</si>
  <si>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</si>
  <si>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</si>
  <si>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</si>
  <si>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</si>
  <si>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</si>
  <si>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</si>
  <si>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</si>
  <si>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</si>
  <si>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</si>
  <si>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</si>
  <si>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</si>
  <si>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</si>
  <si>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</si>
  <si>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</si>
  <si>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</si>
  <si>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</si>
  <si>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</si>
  <si>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</si>
  <si>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</si>
  <si>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</si>
  <si>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</si>
  <si>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</si>
  <si>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</si>
  <si>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</si>
  <si>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</si>
  <si>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</si>
  <si>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</si>
  <si>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</si>
  <si>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</si>
  <si>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</si>
  <si>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</si>
  <si>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</si>
  <si>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</si>
  <si>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</si>
  <si>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</si>
  <si>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</si>
  <si>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</si>
  <si>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</si>
  <si>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</si>
  <si>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</si>
  <si>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</si>
  <si>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</si>
  <si>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</si>
  <si>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</si>
  <si>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</si>
  <si>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</si>
  <si>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</si>
  <si>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</si>
  <si>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</si>
  <si>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</si>
  <si>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</si>
  <si>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</si>
  <si>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</si>
  <si>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</si>
  <si>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</si>
  <si>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</si>
  <si>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</si>
  <si>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</si>
  <si>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</si>
  <si>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</si>
  <si>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</si>
  <si>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</si>
  <si>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</si>
  <si>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</si>
  <si>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</si>
  <si>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</si>
  <si>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</si>
  <si>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</si>
  <si>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</si>
  <si>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</si>
  <si>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</si>
  <si>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</si>
  <si>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</si>
  <si>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</si>
  <si>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</si>
  <si>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</si>
  <si>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</si>
  <si>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</si>
  <si>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</si>
  <si>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</si>
  <si>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</si>
  <si>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</si>
  <si>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</si>
  <si>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</si>
  <si>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</si>
  <si>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</si>
  <si>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</si>
  <si>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</si>
  <si>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</si>
  <si>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</si>
  <si>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</si>
  <si>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</si>
  <si>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</si>
  <si>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</si>
  <si>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</si>
  <si>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</si>
  <si>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</si>
  <si>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</si>
  <si>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</si>
  <si>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</si>
  <si>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</si>
  <si>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</si>
  <si>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</si>
  <si>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</si>
  <si>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</si>
  <si>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</si>
  <si>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</si>
  <si>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</si>
  <si>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</si>
  <si>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</si>
  <si>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</si>
  <si>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</si>
  <si>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</si>
  <si>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</si>
  <si>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</si>
  <si>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</si>
  <si>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</si>
  <si>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</si>
  <si>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</si>
  <si>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</si>
  <si>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</si>
  <si>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</si>
  <si>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</si>
  <si>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</si>
  <si>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</si>
  <si>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</si>
  <si>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</si>
  <si>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</si>
  <si>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</si>
  <si>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</si>
  <si>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</si>
  <si>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</si>
  <si>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</si>
  <si>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</si>
  <si>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</si>
  <si>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</si>
  <si>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</si>
  <si>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</si>
  <si>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</si>
  <si>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</si>
  <si>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</si>
  <si>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</si>
  <si>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</si>
  <si>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</si>
  <si>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</si>
  <si>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</si>
  <si>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</si>
  <si>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</si>
  <si>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</si>
  <si>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</si>
  <si>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</si>
  <si>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</si>
  <si>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</si>
  <si>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</si>
  <si>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</si>
  <si>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</si>
  <si>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</si>
  <si>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</si>
  <si>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</si>
  <si>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</si>
  <si>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</si>
  <si>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</si>
  <si>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</si>
  <si>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</si>
  <si>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</si>
  <si>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</si>
  <si>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</si>
  <si>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</si>
  <si>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</si>
  <si>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</si>
  <si>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</si>
  <si>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</si>
  <si>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</si>
  <si>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</si>
  <si>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</si>
  <si>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</si>
  <si>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</si>
  <si>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</si>
  <si>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</si>
  <si>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</si>
  <si>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</si>
  <si>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</si>
  <si>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</si>
  <si>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</si>
  <si>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</si>
  <si>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</si>
  <si>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</si>
  <si>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</si>
  <si>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</si>
  <si>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</si>
  <si>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</si>
  <si>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</si>
  <si>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</si>
  <si>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</si>
  <si>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</si>
  <si>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</si>
  <si>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</si>
  <si>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</si>
  <si>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</si>
  <si>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</si>
  <si>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</si>
  <si>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</si>
  <si>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</si>
  <si>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</si>
  <si>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</si>
  <si>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</si>
  <si>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</si>
  <si>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</si>
  <si>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</si>
  <si>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</si>
  <si>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</si>
  <si>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</si>
  <si>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</si>
  <si>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</si>
  <si>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</si>
  <si>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</si>
  <si>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</si>
  <si>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</si>
  <si>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</si>
  <si>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</si>
  <si>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</si>
  <si>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</si>
  <si>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</si>
  <si>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</si>
  <si>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</si>
  <si>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</si>
  <si>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</si>
  <si>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</si>
  <si>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</si>
  <si>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</si>
  <si>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</si>
  <si>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</si>
  <si>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</si>
  <si>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</si>
  <si>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</si>
  <si>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</si>
  <si>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</si>
  <si>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</si>
  <si>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</si>
  <si>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</si>
  <si>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</si>
  <si>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</si>
  <si>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</si>
  <si>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</si>
  <si>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</si>
  <si>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</si>
  <si>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</si>
  <si>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</si>
  <si>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</si>
  <si>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</si>
  <si>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</si>
  <si>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</si>
  <si>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</si>
  <si>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</si>
  <si>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</si>
  <si>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</si>
  <si>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</si>
  <si>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</si>
  <si>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</si>
  <si>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</si>
  <si>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</si>
  <si>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</si>
  <si>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</si>
  <si>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</si>
  <si>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</si>
  <si>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</si>
  <si>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</si>
  <si>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</si>
  <si>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</si>
  <si>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</si>
  <si>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</si>
  <si>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</si>
  <si>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</si>
  <si>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</si>
  <si>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</si>
  <si>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</si>
  <si>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</si>
  <si>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</si>
  <si>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</si>
  <si>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</si>
  <si>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</si>
  <si>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</si>
  <si>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</si>
  <si>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</si>
  <si>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</si>
  <si>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</si>
  <si>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</si>
  <si>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</si>
  <si>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</si>
  <si>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</si>
  <si>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</si>
  <si>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</si>
  <si>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</si>
  <si>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</si>
  <si>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</si>
  <si>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</si>
  <si>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</si>
  <si>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</si>
  <si>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</si>
  <si>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</si>
  <si>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</si>
  <si>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</si>
  <si>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</si>
  <si>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</si>
  <si>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</si>
  <si>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</si>
  <si>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</si>
  <si>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</si>
  <si>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</si>
  <si>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</si>
  <si>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</si>
  <si>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</si>
  <si>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</si>
  <si>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</si>
  <si>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</si>
  <si>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</si>
  <si>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</si>
  <si>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</si>
  <si>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</si>
  <si>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</si>
  <si>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</si>
  <si>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</si>
  <si>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</si>
  <si>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</si>
  <si>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</si>
  <si>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</si>
  <si>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</si>
  <si>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</si>
  <si>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</si>
  <si>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</si>
  <si>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</si>
  <si>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</si>
  <si>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</si>
  <si>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</si>
  <si>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</si>
  <si>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</si>
  <si>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</si>
  <si>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</si>
  <si>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</si>
  <si>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</si>
  <si>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</si>
  <si>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</si>
  <si>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</si>
  <si>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</si>
  <si>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</si>
  <si>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</si>
  <si>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</si>
  <si>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</si>
  <si>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</si>
  <si>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</si>
  <si>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</si>
  <si>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</si>
  <si>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</si>
  <si>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</si>
  <si>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</si>
  <si>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</si>
  <si>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</si>
  <si>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</si>
  <si>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</si>
  <si>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</si>
  <si>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</si>
  <si>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</si>
  <si>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</si>
  <si>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</si>
  <si>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</si>
  <si>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</si>
  <si>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</si>
  <si>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</si>
  <si>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</si>
  <si>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</si>
  <si>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</si>
  <si>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</si>
  <si>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</si>
  <si>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</si>
  <si>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</si>
  <si>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</si>
  <si>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</si>
  <si>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</si>
  <si>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</si>
  <si>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</si>
  <si>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</si>
  <si>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</si>
  <si>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</si>
  <si>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</si>
  <si>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</si>
  <si>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</si>
  <si>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</si>
  <si>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</si>
  <si>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</si>
  <si>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</si>
  <si>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</si>
  <si>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</si>
  <si>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</si>
  <si>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</si>
  <si>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</si>
  <si>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</si>
  <si>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</si>
  <si>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</si>
  <si>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</si>
  <si>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</si>
  <si>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</si>
  <si>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</si>
  <si>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</si>
  <si>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</si>
  <si>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</si>
  <si>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</si>
  <si>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</si>
  <si>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</si>
  <si>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</si>
  <si>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</si>
  <si>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</si>
  <si>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</si>
  <si>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</si>
  <si>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</si>
  <si>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</si>
  <si>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</si>
  <si>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</si>
  <si>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</si>
  <si>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</si>
  <si>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</si>
  <si>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</si>
  <si>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</si>
  <si>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</si>
  <si>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</si>
  <si>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</si>
  <si>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</si>
  <si>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</si>
  <si>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</si>
  <si>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</si>
  <si>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</si>
  <si>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</si>
  <si>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</si>
  <si>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</si>
  <si>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</si>
  <si>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</si>
  <si>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</si>
  <si>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</si>
  <si>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</si>
  <si>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</si>
  <si>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</si>
  <si>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</si>
  <si>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</si>
  <si>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</si>
  <si>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</si>
  <si>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</si>
  <si>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</si>
  <si>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</si>
  <si>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</si>
  <si>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</si>
  <si>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</si>
  <si>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</si>
  <si>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</si>
  <si>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</si>
  <si>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</si>
  <si>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</si>
  <si>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</si>
  <si>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</si>
  <si>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</si>
  <si>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</si>
  <si>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</si>
  <si>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</si>
  <si>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</si>
  <si>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</si>
  <si>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</si>
  <si>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</si>
  <si>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</si>
  <si>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</si>
  <si>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</si>
  <si>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</si>
  <si>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</si>
  <si>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</si>
  <si>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</si>
  <si>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</si>
  <si>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</si>
  <si>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</si>
  <si>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</si>
  <si>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</si>
  <si>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</si>
  <si>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</si>
  <si>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</si>
  <si>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</si>
  <si>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</si>
  <si>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</si>
  <si>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</si>
  <si>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</si>
  <si>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</si>
  <si>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</si>
  <si>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</si>
  <si>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</si>
  <si>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</si>
  <si>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</si>
  <si>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</si>
  <si>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</si>
  <si>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</si>
  <si>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</si>
  <si>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</si>
  <si>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</si>
  <si>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</si>
  <si>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</si>
  <si>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</si>
  <si>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</si>
  <si>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</si>
  <si>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</si>
  <si>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</si>
  <si>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</si>
  <si>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</si>
  <si>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</si>
  <si>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</si>
  <si>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</si>
  <si>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</si>
  <si>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</si>
  <si>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</si>
  <si>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</si>
  <si>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</si>
  <si>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</si>
  <si>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</si>
  <si>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</si>
  <si>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</si>
  <si>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</si>
  <si>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</si>
  <si>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</si>
  <si>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</si>
  <si>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</si>
  <si>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</si>
  <si>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</si>
  <si>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</si>
  <si>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</si>
  <si>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</si>
  <si>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</si>
  <si>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</si>
  <si>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</si>
  <si>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</si>
  <si>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</si>
  <si>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</si>
  <si>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</si>
  <si>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</si>
  <si>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</si>
  <si>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</si>
  <si>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</si>
  <si>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</si>
  <si>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</si>
  <si>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</si>
  <si>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</si>
  <si>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</si>
  <si>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</si>
  <si>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</si>
  <si>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</si>
  <si>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</si>
  <si>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</si>
  <si>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</si>
  <si>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</si>
  <si>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</si>
  <si>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</si>
  <si>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</si>
  <si>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</si>
  <si>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</si>
  <si>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</si>
  <si>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</si>
  <si>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</si>
  <si>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</si>
  <si>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</si>
  <si>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</si>
  <si>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</si>
  <si>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</si>
  <si>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</si>
  <si>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</si>
  <si>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</si>
  <si>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</si>
  <si>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</si>
  <si>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</si>
  <si>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</si>
  <si>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</si>
  <si>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</si>
  <si>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</si>
  <si>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</si>
  <si>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</si>
  <si>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</si>
  <si>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</si>
  <si>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</si>
  <si>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</si>
  <si>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</si>
  <si>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</si>
  <si>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</si>
  <si>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</si>
  <si>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</si>
  <si>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</si>
  <si>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</si>
  <si>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</si>
  <si>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</si>
  <si>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</si>
  <si>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</si>
  <si>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</si>
  <si>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</si>
  <si>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</si>
  <si>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</si>
  <si>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</si>
  <si>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</si>
  <si>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</si>
  <si>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</si>
  <si>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</si>
  <si>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</si>
  <si>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</si>
  <si>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</si>
  <si>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</si>
  <si>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</si>
  <si>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</si>
  <si>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</si>
  <si>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</si>
  <si>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</si>
  <si>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</si>
  <si>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</si>
  <si>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</si>
  <si>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</si>
  <si>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</si>
  <si>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</si>
  <si>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</si>
  <si>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</si>
  <si>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</si>
  <si>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</si>
  <si>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</si>
  <si>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</si>
  <si>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</si>
  <si>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</si>
  <si>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</si>
  <si>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</si>
  <si>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</si>
  <si>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</si>
  <si>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</si>
  <si>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</si>
  <si>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</si>
  <si>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</si>
  <si>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</si>
  <si>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</si>
  <si>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</si>
  <si>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</si>
  <si>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</si>
  <si>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</si>
  <si>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</si>
  <si>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</si>
  <si>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</si>
  <si>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</si>
  <si>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</si>
  <si>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72021</t>
  </si>
  <si>
    <t>MAASEIK</t>
  </si>
  <si>
    <t>Paarden&amp;pony's 200 - 600 kg</t>
  </si>
  <si>
    <t>Paarden&amp;pony's &lt; 200 kg</t>
  </si>
  <si>
    <t>op basis van VEA (maart 2018) en Inventaris Hernieuwbare Energiebronnen (juni 2018)</t>
  </si>
  <si>
    <t>VEA (juni 2018)</t>
  </si>
  <si>
    <t>Marcel Delbroek</t>
  </si>
  <si>
    <t>Bergerstraat 34 , 3680 Neeroeteren</t>
  </si>
  <si>
    <t>WKK-0381 Marcel Delbroek</t>
  </si>
  <si>
    <t>stirlingmotor</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</si>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</sst>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72021</v>
      </c>
      <c r="B6" s="397"/>
      <c r="C6" s="398"/>
    </row>
    <row r="7" spans="1:7" s="395" customFormat="1" ht="15.75" customHeight="1">
      <c r="A7" s="399" t="str">
        <f>txtMunicipality</f>
        <v>MAASEIK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30379.174000000003</v>
      </c>
      <c r="D10" s="688">
        <f ca="1">tertiair!C16</f>
        <v>0</v>
      </c>
      <c r="E10" s="688">
        <f ca="1">tertiair!D16</f>
        <v>27385.460541999997</v>
      </c>
      <c r="F10" s="688">
        <f>tertiair!E16</f>
        <v>339.81394045173511</v>
      </c>
      <c r="G10" s="688">
        <f ca="1">tertiair!F16</f>
        <v>6888.0658144264471</v>
      </c>
      <c r="H10" s="688">
        <f>tertiair!G16</f>
        <v>0</v>
      </c>
      <c r="I10" s="688">
        <f>tertiair!H16</f>
        <v>0</v>
      </c>
      <c r="J10" s="688">
        <f>tertiair!I16</f>
        <v>0</v>
      </c>
      <c r="K10" s="688">
        <f>tertiair!J16</f>
        <v>0</v>
      </c>
      <c r="L10" s="688">
        <f>tertiair!K16</f>
        <v>0</v>
      </c>
      <c r="M10" s="688">
        <f ca="1">tertiair!L16</f>
        <v>0</v>
      </c>
      <c r="N10" s="688">
        <f>tertiair!M16</f>
        <v>0</v>
      </c>
      <c r="O10" s="688">
        <f ca="1">tertiair!N16</f>
        <v>2905.9388194563312</v>
      </c>
      <c r="P10" s="688">
        <f>tertiair!O16</f>
        <v>0</v>
      </c>
      <c r="Q10" s="689">
        <f>tertiair!P16</f>
        <v>0</v>
      </c>
      <c r="R10" s="691">
        <f ca="1">SUM(C10:Q10)</f>
        <v>67898.453116334509</v>
      </c>
      <c r="S10" s="68"/>
    </row>
    <row r="11" spans="1:19" s="457" customFormat="1">
      <c r="A11" s="803" t="s">
        <v>225</v>
      </c>
      <c r="B11" s="808"/>
      <c r="C11" s="688">
        <f>huishoudens!B8</f>
        <v>46097.776887824242</v>
      </c>
      <c r="D11" s="688">
        <f>huishoudens!C8</f>
        <v>0</v>
      </c>
      <c r="E11" s="688">
        <f>huishoudens!D8</f>
        <v>74751.61828200001</v>
      </c>
      <c r="F11" s="688">
        <f>huishoudens!E8</f>
        <v>7610.6026868578219</v>
      </c>
      <c r="G11" s="688">
        <f>huishoudens!F8</f>
        <v>66132.560347142149</v>
      </c>
      <c r="H11" s="688">
        <f>huishoudens!G8</f>
        <v>0</v>
      </c>
      <c r="I11" s="688">
        <f>huishoudens!H8</f>
        <v>0</v>
      </c>
      <c r="J11" s="688">
        <f>huishoudens!I8</f>
        <v>0</v>
      </c>
      <c r="K11" s="688">
        <f>huishoudens!J8</f>
        <v>0</v>
      </c>
      <c r="L11" s="688">
        <f>huishoudens!K8</f>
        <v>0</v>
      </c>
      <c r="M11" s="688">
        <f>huishoudens!L8</f>
        <v>0</v>
      </c>
      <c r="N11" s="688">
        <f>huishoudens!M8</f>
        <v>0</v>
      </c>
      <c r="O11" s="688">
        <f>huishoudens!N8</f>
        <v>22497.674582068754</v>
      </c>
      <c r="P11" s="688">
        <f>huishoudens!O8</f>
        <v>104.74333333333335</v>
      </c>
      <c r="Q11" s="689">
        <f>huishoudens!P8</f>
        <v>362.26666666666665</v>
      </c>
      <c r="R11" s="691">
        <f>SUM(C11:Q11)</f>
        <v>217557.24278589297</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11861.521000000001</v>
      </c>
      <c r="D13" s="688">
        <f>industrie!C18</f>
        <v>0</v>
      </c>
      <c r="E13" s="688">
        <f>industrie!D18</f>
        <v>10013.829914</v>
      </c>
      <c r="F13" s="688">
        <f>industrie!E18</f>
        <v>134.92208199148956</v>
      </c>
      <c r="G13" s="688">
        <f>industrie!F18</f>
        <v>3439.6919558229038</v>
      </c>
      <c r="H13" s="688">
        <f>industrie!G18</f>
        <v>0</v>
      </c>
      <c r="I13" s="688">
        <f>industrie!H18</f>
        <v>0</v>
      </c>
      <c r="J13" s="688">
        <f>industrie!I18</f>
        <v>0</v>
      </c>
      <c r="K13" s="688">
        <f>industrie!J18</f>
        <v>59.286385462632204</v>
      </c>
      <c r="L13" s="688">
        <f>industrie!K18</f>
        <v>0</v>
      </c>
      <c r="M13" s="688">
        <f>industrie!L18</f>
        <v>0</v>
      </c>
      <c r="N13" s="688">
        <f>industrie!M18</f>
        <v>0</v>
      </c>
      <c r="O13" s="688">
        <f>industrie!N18</f>
        <v>319.16239954910361</v>
      </c>
      <c r="P13" s="688">
        <f>industrie!O18</f>
        <v>0</v>
      </c>
      <c r="Q13" s="689">
        <f>industrie!P18</f>
        <v>0</v>
      </c>
      <c r="R13" s="691">
        <f>SUM(C13:Q13)</f>
        <v>25828.413736826129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88338.471887824242</v>
      </c>
      <c r="D16" s="721">
        <f t="shared" ref="D16:R16" ca="1" si="0">SUM(D9:D15)</f>
        <v>0</v>
      </c>
      <c r="E16" s="721">
        <f t="shared" ca="1" si="0"/>
        <v>112150.90873800001</v>
      </c>
      <c r="F16" s="721">
        <f t="shared" si="0"/>
        <v>8085.3387093010469</v>
      </c>
      <c r="G16" s="721">
        <f t="shared" ca="1" si="0"/>
        <v>76460.318117391493</v>
      </c>
      <c r="H16" s="721">
        <f t="shared" si="0"/>
        <v>0</v>
      </c>
      <c r="I16" s="721">
        <f t="shared" si="0"/>
        <v>0</v>
      </c>
      <c r="J16" s="721">
        <f t="shared" si="0"/>
        <v>0</v>
      </c>
      <c r="K16" s="721">
        <f t="shared" si="0"/>
        <v>59.286385462632204</v>
      </c>
      <c r="L16" s="721">
        <f t="shared" si="0"/>
        <v>0</v>
      </c>
      <c r="M16" s="721">
        <f t="shared" ca="1" si="0"/>
        <v>0</v>
      </c>
      <c r="N16" s="721">
        <f t="shared" si="0"/>
        <v>0</v>
      </c>
      <c r="O16" s="721">
        <f t="shared" ca="1" si="0"/>
        <v>25722.775801074189</v>
      </c>
      <c r="P16" s="721">
        <f t="shared" si="0"/>
        <v>104.74333333333335</v>
      </c>
      <c r="Q16" s="721">
        <f t="shared" si="0"/>
        <v>362.26666666666665</v>
      </c>
      <c r="R16" s="721">
        <f t="shared" ca="1" si="0"/>
        <v>311284.10963905358</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2504.7761973833153</v>
      </c>
      <c r="I19" s="688">
        <f>transport!H54</f>
        <v>0</v>
      </c>
      <c r="J19" s="688">
        <f>transport!I54</f>
        <v>0</v>
      </c>
      <c r="K19" s="688">
        <f>transport!J54</f>
        <v>0</v>
      </c>
      <c r="L19" s="688">
        <f>transport!K54</f>
        <v>0</v>
      </c>
      <c r="M19" s="688">
        <f>transport!L54</f>
        <v>0</v>
      </c>
      <c r="N19" s="688">
        <f>transport!M54</f>
        <v>109.98885471389301</v>
      </c>
      <c r="O19" s="688">
        <f>transport!N54</f>
        <v>0</v>
      </c>
      <c r="P19" s="688">
        <f>transport!O54</f>
        <v>0</v>
      </c>
      <c r="Q19" s="689">
        <f>transport!P54</f>
        <v>0</v>
      </c>
      <c r="R19" s="691">
        <f>SUM(C19:Q19)</f>
        <v>2614.7650520972084</v>
      </c>
      <c r="S19" s="68"/>
    </row>
    <row r="20" spans="1:19" s="457" customFormat="1">
      <c r="A20" s="803" t="s">
        <v>307</v>
      </c>
      <c r="B20" s="808"/>
      <c r="C20" s="688">
        <f>transport!B14</f>
        <v>2.5851053405897244</v>
      </c>
      <c r="D20" s="688">
        <f>transport!C14</f>
        <v>0</v>
      </c>
      <c r="E20" s="688">
        <f>transport!D14</f>
        <v>7.3669105690658148</v>
      </c>
      <c r="F20" s="688">
        <f>transport!E14</f>
        <v>425.01344637802725</v>
      </c>
      <c r="G20" s="688">
        <f>transport!F14</f>
        <v>0</v>
      </c>
      <c r="H20" s="688">
        <f>transport!G14</f>
        <v>75167.921863295065</v>
      </c>
      <c r="I20" s="688">
        <f>transport!H14</f>
        <v>16322.674414977751</v>
      </c>
      <c r="J20" s="688">
        <f>transport!I14</f>
        <v>0</v>
      </c>
      <c r="K20" s="688">
        <f>transport!J14</f>
        <v>0</v>
      </c>
      <c r="L20" s="688">
        <f>transport!K14</f>
        <v>0</v>
      </c>
      <c r="M20" s="688">
        <f>transport!L14</f>
        <v>0</v>
      </c>
      <c r="N20" s="688">
        <f>transport!M14</f>
        <v>4093.8884571737794</v>
      </c>
      <c r="O20" s="688">
        <f>transport!N14</f>
        <v>0</v>
      </c>
      <c r="P20" s="688">
        <f>transport!O14</f>
        <v>0</v>
      </c>
      <c r="Q20" s="689">
        <f>transport!P14</f>
        <v>0</v>
      </c>
      <c r="R20" s="691">
        <f>SUM(C20:Q20)</f>
        <v>96019.450197734273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2.5851053405897244</v>
      </c>
      <c r="D22" s="806">
        <f t="shared" ref="D22:R22" si="1">SUM(D18:D21)</f>
        <v>0</v>
      </c>
      <c r="E22" s="806">
        <f t="shared" si="1"/>
        <v>7.3669105690658148</v>
      </c>
      <c r="F22" s="806">
        <f t="shared" si="1"/>
        <v>425.01344637802725</v>
      </c>
      <c r="G22" s="806">
        <f t="shared" si="1"/>
        <v>0</v>
      </c>
      <c r="H22" s="806">
        <f t="shared" si="1"/>
        <v>77672.698060678376</v>
      </c>
      <c r="I22" s="806">
        <f t="shared" si="1"/>
        <v>16322.674414977751</v>
      </c>
      <c r="J22" s="806">
        <f t="shared" si="1"/>
        <v>0</v>
      </c>
      <c r="K22" s="806">
        <f t="shared" si="1"/>
        <v>0</v>
      </c>
      <c r="L22" s="806">
        <f t="shared" si="1"/>
        <v>0</v>
      </c>
      <c r="M22" s="806">
        <f t="shared" si="1"/>
        <v>0</v>
      </c>
      <c r="N22" s="806">
        <f t="shared" si="1"/>
        <v>4203.8773118876725</v>
      </c>
      <c r="O22" s="806">
        <f t="shared" si="1"/>
        <v>0</v>
      </c>
      <c r="P22" s="806">
        <f t="shared" si="1"/>
        <v>0</v>
      </c>
      <c r="Q22" s="806">
        <f t="shared" si="1"/>
        <v>0</v>
      </c>
      <c r="R22" s="806">
        <f t="shared" si="1"/>
        <v>98634.215249831483</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3937.1419999999998</v>
      </c>
      <c r="D24" s="688">
        <f>+landbouw!C8</f>
        <v>5.625</v>
      </c>
      <c r="E24" s="688">
        <f>+landbouw!D8</f>
        <v>6861.4509900000003</v>
      </c>
      <c r="F24" s="688">
        <f>+landbouw!E8</f>
        <v>37.090515611673645</v>
      </c>
      <c r="G24" s="688">
        <f>+landbouw!F8</f>
        <v>12848.200968677935</v>
      </c>
      <c r="H24" s="688">
        <f>+landbouw!G8</f>
        <v>0</v>
      </c>
      <c r="I24" s="688">
        <f>+landbouw!H8</f>
        <v>0</v>
      </c>
      <c r="J24" s="688">
        <f>+landbouw!I8</f>
        <v>0</v>
      </c>
      <c r="K24" s="688">
        <f>+landbouw!J8</f>
        <v>487.04361565500949</v>
      </c>
      <c r="L24" s="688">
        <f>+landbouw!K8</f>
        <v>0</v>
      </c>
      <c r="M24" s="688">
        <f>+landbouw!L8</f>
        <v>0</v>
      </c>
      <c r="N24" s="688">
        <f>+landbouw!M8</f>
        <v>0</v>
      </c>
      <c r="O24" s="688">
        <f>+landbouw!N8</f>
        <v>0</v>
      </c>
      <c r="P24" s="688">
        <f>+landbouw!O8</f>
        <v>0</v>
      </c>
      <c r="Q24" s="689">
        <f>+landbouw!P8</f>
        <v>0</v>
      </c>
      <c r="R24" s="691">
        <f>SUM(C24:Q24)</f>
        <v>24176.55308994462</v>
      </c>
      <c r="S24" s="68"/>
    </row>
    <row r="25" spans="1:19" s="457" customFormat="1" ht="15" thickBot="1">
      <c r="A25" s="825" t="s">
        <v>912</v>
      </c>
      <c r="B25" s="1001"/>
      <c r="C25" s="1002">
        <f>IF(Onbekend_ele_kWh="---",0,Onbekend_ele_kWh)/1000+IF(REST_rest_ele_kWh="---",0,REST_rest_ele_kWh)/1000</f>
        <v>1194.6969999999999</v>
      </c>
      <c r="D25" s="1002"/>
      <c r="E25" s="1002">
        <f>IF(onbekend_gas_kWh="---",0,onbekend_gas_kWh)/1000+IF(REST_rest_gas_kWh="---",0,REST_rest_gas_kWh)/1000</f>
        <v>5194.0010000000002</v>
      </c>
      <c r="F25" s="1002"/>
      <c r="G25" s="1002"/>
      <c r="H25" s="1002"/>
      <c r="I25" s="1002"/>
      <c r="J25" s="1002"/>
      <c r="K25" s="1002"/>
      <c r="L25" s="1002"/>
      <c r="M25" s="1002"/>
      <c r="N25" s="1002"/>
      <c r="O25" s="1002"/>
      <c r="P25" s="1002"/>
      <c r="Q25" s="1003"/>
      <c r="R25" s="691">
        <f>SUM(C25:Q25)</f>
        <v>6388.6980000000003</v>
      </c>
      <c r="S25" s="68"/>
    </row>
    <row r="26" spans="1:19" s="457" customFormat="1" ht="15.75" thickBot="1">
      <c r="A26" s="694" t="s">
        <v>913</v>
      </c>
      <c r="B26" s="811"/>
      <c r="C26" s="806">
        <f>SUM(C24:C25)</f>
        <v>5131.8389999999999</v>
      </c>
      <c r="D26" s="806">
        <f t="shared" ref="D26:R26" si="2">SUM(D24:D25)</f>
        <v>5.625</v>
      </c>
      <c r="E26" s="806">
        <f t="shared" si="2"/>
        <v>12055.451990000001</v>
      </c>
      <c r="F26" s="806">
        <f t="shared" si="2"/>
        <v>37.090515611673645</v>
      </c>
      <c r="G26" s="806">
        <f t="shared" si="2"/>
        <v>12848.200968677935</v>
      </c>
      <c r="H26" s="806">
        <f t="shared" si="2"/>
        <v>0</v>
      </c>
      <c r="I26" s="806">
        <f t="shared" si="2"/>
        <v>0</v>
      </c>
      <c r="J26" s="806">
        <f t="shared" si="2"/>
        <v>0</v>
      </c>
      <c r="K26" s="806">
        <f t="shared" si="2"/>
        <v>487.04361565500949</v>
      </c>
      <c r="L26" s="806">
        <f t="shared" si="2"/>
        <v>0</v>
      </c>
      <c r="M26" s="806">
        <f t="shared" si="2"/>
        <v>0</v>
      </c>
      <c r="N26" s="806">
        <f t="shared" si="2"/>
        <v>0</v>
      </c>
      <c r="O26" s="806">
        <f t="shared" si="2"/>
        <v>0</v>
      </c>
      <c r="P26" s="806">
        <f t="shared" si="2"/>
        <v>0</v>
      </c>
      <c r="Q26" s="806">
        <f t="shared" si="2"/>
        <v>0</v>
      </c>
      <c r="R26" s="806">
        <f t="shared" si="2"/>
        <v>30565.251089944621</v>
      </c>
      <c r="S26" s="68"/>
    </row>
    <row r="27" spans="1:19" s="457" customFormat="1" ht="17.25" thickTop="1" thickBot="1">
      <c r="A27" s="695" t="s">
        <v>116</v>
      </c>
      <c r="B27" s="798"/>
      <c r="C27" s="696">
        <f ca="1">C22+C16+C26</f>
        <v>93472.895993164828</v>
      </c>
      <c r="D27" s="696">
        <f t="shared" ref="D27:R27" ca="1" si="3">D22+D16+D26</f>
        <v>5.625</v>
      </c>
      <c r="E27" s="696">
        <f t="shared" ca="1" si="3"/>
        <v>124213.72763856908</v>
      </c>
      <c r="F27" s="696">
        <f t="shared" si="3"/>
        <v>8547.442671290748</v>
      </c>
      <c r="G27" s="696">
        <f t="shared" ca="1" si="3"/>
        <v>89308.519086069427</v>
      </c>
      <c r="H27" s="696">
        <f t="shared" si="3"/>
        <v>77672.698060678376</v>
      </c>
      <c r="I27" s="696">
        <f t="shared" si="3"/>
        <v>16322.674414977751</v>
      </c>
      <c r="J27" s="696">
        <f t="shared" si="3"/>
        <v>0</v>
      </c>
      <c r="K27" s="696">
        <f t="shared" si="3"/>
        <v>546.3300011176417</v>
      </c>
      <c r="L27" s="696">
        <f t="shared" si="3"/>
        <v>0</v>
      </c>
      <c r="M27" s="696">
        <f t="shared" ca="1" si="3"/>
        <v>0</v>
      </c>
      <c r="N27" s="696">
        <f t="shared" si="3"/>
        <v>4203.8773118876725</v>
      </c>
      <c r="O27" s="696">
        <f t="shared" ca="1" si="3"/>
        <v>25722.775801074189</v>
      </c>
      <c r="P27" s="696">
        <f t="shared" si="3"/>
        <v>104.74333333333335</v>
      </c>
      <c r="Q27" s="696">
        <f t="shared" si="3"/>
        <v>362.26666666666665</v>
      </c>
      <c r="R27" s="696">
        <f t="shared" ca="1" si="3"/>
        <v>440483.5759788297</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5354.2548780855277</v>
      </c>
      <c r="D40" s="688">
        <f ca="1">tertiair!C20</f>
        <v>0</v>
      </c>
      <c r="E40" s="688">
        <f ca="1">tertiair!D20</f>
        <v>5531.8630294839995</v>
      </c>
      <c r="F40" s="688">
        <f>tertiair!E20</f>
        <v>77.137764482543872</v>
      </c>
      <c r="G40" s="688">
        <f ca="1">tertiair!F20</f>
        <v>1839.1135724518615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12802.369244503932</v>
      </c>
    </row>
    <row r="41" spans="1:18">
      <c r="A41" s="816" t="s">
        <v>225</v>
      </c>
      <c r="B41" s="823"/>
      <c r="C41" s="688">
        <f ca="1">huishoudens!B12</f>
        <v>8124.6200693452438</v>
      </c>
      <c r="D41" s="688">
        <f ca="1">huishoudens!C12</f>
        <v>0</v>
      </c>
      <c r="E41" s="688">
        <f>huishoudens!D12</f>
        <v>15099.826892964003</v>
      </c>
      <c r="F41" s="688">
        <f>huishoudens!E12</f>
        <v>1727.6068099167255</v>
      </c>
      <c r="G41" s="688">
        <f>huishoudens!F12</f>
        <v>17657.393612686956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42609.447384912928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2090.5639724030657</v>
      </c>
      <c r="D43" s="688">
        <f ca="1">industrie!C22</f>
        <v>0</v>
      </c>
      <c r="E43" s="688">
        <f>industrie!D22</f>
        <v>2022.793642628</v>
      </c>
      <c r="F43" s="688">
        <f>industrie!E22</f>
        <v>30.627312612068131</v>
      </c>
      <c r="G43" s="688">
        <f>industrie!F22</f>
        <v>918.3977522047154</v>
      </c>
      <c r="H43" s="688">
        <f>industrie!G22</f>
        <v>0</v>
      </c>
      <c r="I43" s="688">
        <f>industrie!H22</f>
        <v>0</v>
      </c>
      <c r="J43" s="688">
        <f>industrie!I22</f>
        <v>0</v>
      </c>
      <c r="K43" s="688">
        <f>industrie!J22</f>
        <v>20.987380453771799</v>
      </c>
      <c r="L43" s="688">
        <f>industrie!K22</f>
        <v>0</v>
      </c>
      <c r="M43" s="688">
        <f>industrie!L22</f>
        <v>0</v>
      </c>
      <c r="N43" s="688">
        <f>industrie!M22</f>
        <v>0</v>
      </c>
      <c r="O43" s="688">
        <f>industrie!N22</f>
        <v>0</v>
      </c>
      <c r="P43" s="688">
        <f>industrie!O22</f>
        <v>0</v>
      </c>
      <c r="Q43" s="763">
        <f>industrie!P22</f>
        <v>0</v>
      </c>
      <c r="R43" s="843">
        <f t="shared" ca="1" si="4"/>
        <v>5083.3700603016205</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15569.438919833838</v>
      </c>
      <c r="D46" s="721">
        <f t="shared" ref="D46:Q46" ca="1" si="5">SUM(D39:D45)</f>
        <v>0</v>
      </c>
      <c r="E46" s="721">
        <f t="shared" ca="1" si="5"/>
        <v>22654.483565076003</v>
      </c>
      <c r="F46" s="721">
        <f t="shared" si="5"/>
        <v>1835.3718870113375</v>
      </c>
      <c r="G46" s="721">
        <f t="shared" ca="1" si="5"/>
        <v>20414.904937343534</v>
      </c>
      <c r="H46" s="721">
        <f t="shared" si="5"/>
        <v>0</v>
      </c>
      <c r="I46" s="721">
        <f t="shared" si="5"/>
        <v>0</v>
      </c>
      <c r="J46" s="721">
        <f t="shared" si="5"/>
        <v>0</v>
      </c>
      <c r="K46" s="721">
        <f t="shared" si="5"/>
        <v>20.987380453771799</v>
      </c>
      <c r="L46" s="721">
        <f t="shared" si="5"/>
        <v>0</v>
      </c>
      <c r="M46" s="721">
        <f t="shared" ca="1" si="5"/>
        <v>0</v>
      </c>
      <c r="N46" s="721">
        <f t="shared" si="5"/>
        <v>0</v>
      </c>
      <c r="O46" s="721">
        <f t="shared" ca="1" si="5"/>
        <v>0</v>
      </c>
      <c r="P46" s="721">
        <f t="shared" si="5"/>
        <v>0</v>
      </c>
      <c r="Q46" s="721">
        <f t="shared" si="5"/>
        <v>0</v>
      </c>
      <c r="R46" s="721">
        <f ca="1">SUM(R39:R45)</f>
        <v>60495.186689718481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668.77524470134517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668.77524470134517</v>
      </c>
    </row>
    <row r="50" spans="1:18">
      <c r="A50" s="819" t="s">
        <v>307</v>
      </c>
      <c r="B50" s="829"/>
      <c r="C50" s="1008">
        <f ca="1">transport!B18</f>
        <v>0.45561847337315625</v>
      </c>
      <c r="D50" s="1008">
        <f>transport!C18</f>
        <v>0</v>
      </c>
      <c r="E50" s="1008">
        <f>transport!D18</f>
        <v>1.4881159349512947</v>
      </c>
      <c r="F50" s="1008">
        <f>transport!E18</f>
        <v>96.478052327812193</v>
      </c>
      <c r="G50" s="1008">
        <f>transport!F18</f>
        <v>0</v>
      </c>
      <c r="H50" s="1008">
        <f>transport!G18</f>
        <v>20069.835137499784</v>
      </c>
      <c r="I50" s="1008">
        <f>transport!H18</f>
        <v>4064.34592932946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24232.602853565382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0.45561847337315625</v>
      </c>
      <c r="D52" s="721">
        <f t="shared" ref="D52:Q52" ca="1" si="6">SUM(D48:D51)</f>
        <v>0</v>
      </c>
      <c r="E52" s="721">
        <f t="shared" si="6"/>
        <v>1.4881159349512947</v>
      </c>
      <c r="F52" s="721">
        <f t="shared" si="6"/>
        <v>96.478052327812193</v>
      </c>
      <c r="G52" s="721">
        <f t="shared" si="6"/>
        <v>0</v>
      </c>
      <c r="H52" s="721">
        <f t="shared" si="6"/>
        <v>20738.610382201128</v>
      </c>
      <c r="I52" s="721">
        <f t="shared" si="6"/>
        <v>4064.34592932946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24901.378098266727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693.91161718930891</v>
      </c>
      <c r="D54" s="1008">
        <f ca="1">+landbouw!C12</f>
        <v>1.2625000000000002</v>
      </c>
      <c r="E54" s="1008">
        <f>+landbouw!D12</f>
        <v>1386.0130999800001</v>
      </c>
      <c r="F54" s="1008">
        <f>+landbouw!E12</f>
        <v>8.4195470438499171</v>
      </c>
      <c r="G54" s="1008">
        <f>+landbouw!F12</f>
        <v>3430.4696586370087</v>
      </c>
      <c r="H54" s="1008">
        <f>+landbouw!G12</f>
        <v>0</v>
      </c>
      <c r="I54" s="1008">
        <f>+landbouw!H12</f>
        <v>0</v>
      </c>
      <c r="J54" s="1008">
        <f>+landbouw!I12</f>
        <v>0</v>
      </c>
      <c r="K54" s="1008">
        <f>+landbouw!J12</f>
        <v>172.41343994187335</v>
      </c>
      <c r="L54" s="1008">
        <f>+landbouw!K12</f>
        <v>0</v>
      </c>
      <c r="M54" s="1008">
        <f>+landbouw!L12</f>
        <v>0</v>
      </c>
      <c r="N54" s="1008">
        <f>+landbouw!M12</f>
        <v>0</v>
      </c>
      <c r="O54" s="1008">
        <f>+landbouw!N12</f>
        <v>0</v>
      </c>
      <c r="P54" s="1008">
        <f>+landbouw!O12</f>
        <v>0</v>
      </c>
      <c r="Q54" s="1009">
        <f>+landbouw!P12</f>
        <v>0</v>
      </c>
      <c r="R54" s="720">
        <f ca="1">SUM(C54:Q54)</f>
        <v>5692.4898627920411</v>
      </c>
    </row>
    <row r="55" spans="1:18" ht="15" thickBot="1">
      <c r="A55" s="819" t="s">
        <v>912</v>
      </c>
      <c r="B55" s="829"/>
      <c r="C55" s="1008">
        <f ca="1">C25*'EF ele_warmte'!B12</f>
        <v>210.56241489923804</v>
      </c>
      <c r="D55" s="1008"/>
      <c r="E55" s="1008">
        <f>E25*EF_CO2_aardgas</f>
        <v>1049.188202</v>
      </c>
      <c r="F55" s="1008"/>
      <c r="G55" s="1008"/>
      <c r="H55" s="1008"/>
      <c r="I55" s="1008"/>
      <c r="J55" s="1008"/>
      <c r="K55" s="1008"/>
      <c r="L55" s="1008"/>
      <c r="M55" s="1008"/>
      <c r="N55" s="1008"/>
      <c r="O55" s="1008"/>
      <c r="P55" s="1008"/>
      <c r="Q55" s="1009"/>
      <c r="R55" s="720">
        <f ca="1">SUM(C55:Q55)</f>
        <v>1259.7506168992381</v>
      </c>
    </row>
    <row r="56" spans="1:18" ht="15.75" thickBot="1">
      <c r="A56" s="817" t="s">
        <v>913</v>
      </c>
      <c r="B56" s="830"/>
      <c r="C56" s="721">
        <f ca="1">SUM(C54:C55)</f>
        <v>904.47403208854689</v>
      </c>
      <c r="D56" s="721">
        <f t="shared" ref="D56:Q56" ca="1" si="7">SUM(D54:D55)</f>
        <v>1.2625000000000002</v>
      </c>
      <c r="E56" s="721">
        <f t="shared" si="7"/>
        <v>2435.2013019800002</v>
      </c>
      <c r="F56" s="721">
        <f t="shared" si="7"/>
        <v>8.4195470438499171</v>
      </c>
      <c r="G56" s="721">
        <f t="shared" si="7"/>
        <v>3430.4696586370087</v>
      </c>
      <c r="H56" s="721">
        <f t="shared" si="7"/>
        <v>0</v>
      </c>
      <c r="I56" s="721">
        <f t="shared" si="7"/>
        <v>0</v>
      </c>
      <c r="J56" s="721">
        <f t="shared" si="7"/>
        <v>0</v>
      </c>
      <c r="K56" s="721">
        <f t="shared" si="7"/>
        <v>172.41343994187335</v>
      </c>
      <c r="L56" s="721">
        <f t="shared" si="7"/>
        <v>0</v>
      </c>
      <c r="M56" s="721">
        <f t="shared" si="7"/>
        <v>0</v>
      </c>
      <c r="N56" s="721">
        <f t="shared" si="7"/>
        <v>0</v>
      </c>
      <c r="O56" s="721">
        <f t="shared" si="7"/>
        <v>0</v>
      </c>
      <c r="P56" s="721">
        <f t="shared" si="7"/>
        <v>0</v>
      </c>
      <c r="Q56" s="722">
        <f t="shared" si="7"/>
        <v>0</v>
      </c>
      <c r="R56" s="723">
        <f ca="1">SUM(R54:R55)</f>
        <v>6952.2404796912797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16474.36857039576</v>
      </c>
      <c r="D61" s="729">
        <f t="shared" ref="D61:Q61" ca="1" si="8">D46+D52+D56</f>
        <v>1.2625000000000002</v>
      </c>
      <c r="E61" s="729">
        <f t="shared" ca="1" si="8"/>
        <v>25091.172982990953</v>
      </c>
      <c r="F61" s="729">
        <f t="shared" si="8"/>
        <v>1940.2694863829997</v>
      </c>
      <c r="G61" s="729">
        <f t="shared" ca="1" si="8"/>
        <v>23845.374595980542</v>
      </c>
      <c r="H61" s="729">
        <f t="shared" si="8"/>
        <v>20738.610382201128</v>
      </c>
      <c r="I61" s="729">
        <f t="shared" si="8"/>
        <v>4064.34592932946</v>
      </c>
      <c r="J61" s="729">
        <f t="shared" si="8"/>
        <v>0</v>
      </c>
      <c r="K61" s="729">
        <f t="shared" si="8"/>
        <v>193.40082039564516</v>
      </c>
      <c r="L61" s="729">
        <f t="shared" si="8"/>
        <v>0</v>
      </c>
      <c r="M61" s="729">
        <f t="shared" ca="1" si="8"/>
        <v>0</v>
      </c>
      <c r="N61" s="729">
        <f t="shared" si="8"/>
        <v>0</v>
      </c>
      <c r="O61" s="729">
        <f t="shared" ca="1" si="8"/>
        <v>0</v>
      </c>
      <c r="P61" s="729">
        <f t="shared" si="8"/>
        <v>0</v>
      </c>
      <c r="Q61" s="729">
        <f t="shared" si="8"/>
        <v>0</v>
      </c>
      <c r="R61" s="729">
        <f ca="1">R46+R52+R56</f>
        <v>92348.805267676478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0.17624754636467499</v>
      </c>
      <c r="D63" s="773">
        <f t="shared" ca="1" si="9"/>
        <v>0.22444444444444447</v>
      </c>
      <c r="E63" s="1010">
        <f t="shared" ca="1" si="9"/>
        <v>0.20199999999999999</v>
      </c>
      <c r="F63" s="773">
        <f t="shared" si="9"/>
        <v>0.22699999999999998</v>
      </c>
      <c r="G63" s="773">
        <f t="shared" ca="1" si="9"/>
        <v>0.26700000000000007</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9932.805633004109</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8995.4537294106813</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1.125</v>
      </c>
      <c r="D76" s="1020">
        <f>'lokale energieproductie'!C8</f>
        <v>1.25</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0.2525</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18928.259362414792</v>
      </c>
      <c r="C78" s="744">
        <f>SUM(C72:C77)</f>
        <v>1.125</v>
      </c>
      <c r="D78" s="745">
        <f t="shared" ref="D78:H78" si="10">SUM(D76:D77)</f>
        <v>1.25</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0.2525</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5.625</v>
      </c>
      <c r="D87" s="766">
        <f>'lokale energieproductie'!C17</f>
        <v>6.25</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1.2625000000000002</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5.625</v>
      </c>
      <c r="D90" s="744">
        <f t="shared" ref="D90:H90" si="12">SUM(D87:D89)</f>
        <v>6.25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1.2625000000000002</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46097.776887824242</v>
      </c>
      <c r="C4" s="461">
        <f>huishoudens!C8</f>
        <v>0</v>
      </c>
      <c r="D4" s="461">
        <f>huishoudens!D8</f>
        <v>74751.61828200001</v>
      </c>
      <c r="E4" s="461">
        <f>huishoudens!E8</f>
        <v>7610.6026868578219</v>
      </c>
      <c r="F4" s="461">
        <f>huishoudens!F8</f>
        <v>66132.560347142149</v>
      </c>
      <c r="G4" s="461">
        <f>huishoudens!G8</f>
        <v>0</v>
      </c>
      <c r="H4" s="461">
        <f>huishoudens!H8</f>
        <v>0</v>
      </c>
      <c r="I4" s="461">
        <f>huishoudens!I8</f>
        <v>0</v>
      </c>
      <c r="J4" s="461">
        <f>huishoudens!J8</f>
        <v>0</v>
      </c>
      <c r="K4" s="461">
        <f>huishoudens!K8</f>
        <v>0</v>
      </c>
      <c r="L4" s="461">
        <f>huishoudens!L8</f>
        <v>0</v>
      </c>
      <c r="M4" s="461">
        <f>huishoudens!M8</f>
        <v>0</v>
      </c>
      <c r="N4" s="461">
        <f>huishoudens!N8</f>
        <v>22497.674582068754</v>
      </c>
      <c r="O4" s="461">
        <f>huishoudens!O8</f>
        <v>104.74333333333335</v>
      </c>
      <c r="P4" s="462">
        <f>huishoudens!P8</f>
        <v>362.26666666666665</v>
      </c>
      <c r="Q4" s="463">
        <f>SUM(B4:P4)</f>
        <v>217557.24278589297</v>
      </c>
    </row>
    <row r="5" spans="1:17">
      <c r="A5" s="460" t="s">
        <v>156</v>
      </c>
      <c r="B5" s="461">
        <f ca="1">tertiair!B16</f>
        <v>28944.939000000002</v>
      </c>
      <c r="C5" s="461">
        <f ca="1">tertiair!C16</f>
        <v>0</v>
      </c>
      <c r="D5" s="461">
        <f ca="1">tertiair!D16</f>
        <v>27385.460541999997</v>
      </c>
      <c r="E5" s="461">
        <f>tertiair!E16</f>
        <v>339.81394045173511</v>
      </c>
      <c r="F5" s="461">
        <f ca="1">tertiair!F16</f>
        <v>6888.0658144264471</v>
      </c>
      <c r="G5" s="461">
        <f>tertiair!G16</f>
        <v>0</v>
      </c>
      <c r="H5" s="461">
        <f>tertiair!H16</f>
        <v>0</v>
      </c>
      <c r="I5" s="461">
        <f>tertiair!I16</f>
        <v>0</v>
      </c>
      <c r="J5" s="461">
        <f>tertiair!J16</f>
        <v>0</v>
      </c>
      <c r="K5" s="461">
        <f>tertiair!K16</f>
        <v>0</v>
      </c>
      <c r="L5" s="461">
        <f ca="1">tertiair!L16</f>
        <v>0</v>
      </c>
      <c r="M5" s="461">
        <f>tertiair!M16</f>
        <v>0</v>
      </c>
      <c r="N5" s="461">
        <f ca="1">tertiair!N16</f>
        <v>2905.9388194563312</v>
      </c>
      <c r="O5" s="461">
        <f>tertiair!O16</f>
        <v>0</v>
      </c>
      <c r="P5" s="462">
        <f>tertiair!P16</f>
        <v>0</v>
      </c>
      <c r="Q5" s="460">
        <f t="shared" ref="Q5:Q14" ca="1" si="0">SUM(B5:P5)</f>
        <v>66464.218116334509</v>
      </c>
    </row>
    <row r="6" spans="1:17">
      <c r="A6" s="460" t="s">
        <v>194</v>
      </c>
      <c r="B6" s="461">
        <f>'openbare verlichting'!B8</f>
        <v>1434.2349999999999</v>
      </c>
      <c r="C6" s="461"/>
      <c r="D6" s="461"/>
      <c r="E6" s="461"/>
      <c r="F6" s="461"/>
      <c r="G6" s="461"/>
      <c r="H6" s="461"/>
      <c r="I6" s="461"/>
      <c r="J6" s="461"/>
      <c r="K6" s="461"/>
      <c r="L6" s="461"/>
      <c r="M6" s="461"/>
      <c r="N6" s="461"/>
      <c r="O6" s="461"/>
      <c r="P6" s="462"/>
      <c r="Q6" s="460">
        <f t="shared" si="0"/>
        <v>1434.2349999999999</v>
      </c>
    </row>
    <row r="7" spans="1:17">
      <c r="A7" s="460" t="s">
        <v>112</v>
      </c>
      <c r="B7" s="461">
        <f>landbouw!B8</f>
        <v>3937.1419999999998</v>
      </c>
      <c r="C7" s="461">
        <f>landbouw!C8</f>
        <v>5.625</v>
      </c>
      <c r="D7" s="461">
        <f>landbouw!D8</f>
        <v>6861.4509900000003</v>
      </c>
      <c r="E7" s="461">
        <f>landbouw!E8</f>
        <v>37.090515611673645</v>
      </c>
      <c r="F7" s="461">
        <f>landbouw!F8</f>
        <v>12848.200968677935</v>
      </c>
      <c r="G7" s="461">
        <f>landbouw!G8</f>
        <v>0</v>
      </c>
      <c r="H7" s="461">
        <f>landbouw!H8</f>
        <v>0</v>
      </c>
      <c r="I7" s="461">
        <f>landbouw!I8</f>
        <v>0</v>
      </c>
      <c r="J7" s="461">
        <f>landbouw!J8</f>
        <v>487.04361565500949</v>
      </c>
      <c r="K7" s="461">
        <f>landbouw!K8</f>
        <v>0</v>
      </c>
      <c r="L7" s="461">
        <f>landbouw!L8</f>
        <v>0</v>
      </c>
      <c r="M7" s="461">
        <f>landbouw!M8</f>
        <v>0</v>
      </c>
      <c r="N7" s="461">
        <f>landbouw!N8</f>
        <v>0</v>
      </c>
      <c r="O7" s="461">
        <f>landbouw!O8</f>
        <v>0</v>
      </c>
      <c r="P7" s="462">
        <f>landbouw!P8</f>
        <v>0</v>
      </c>
      <c r="Q7" s="460">
        <f t="shared" si="0"/>
        <v>24176.55308994462</v>
      </c>
    </row>
    <row r="8" spans="1:17">
      <c r="A8" s="460" t="s">
        <v>685</v>
      </c>
      <c r="B8" s="461">
        <f>industrie!B18</f>
        <v>11861.521000000001</v>
      </c>
      <c r="C8" s="461">
        <f>industrie!C18</f>
        <v>0</v>
      </c>
      <c r="D8" s="461">
        <f>industrie!D18</f>
        <v>10013.829914</v>
      </c>
      <c r="E8" s="461">
        <f>industrie!E18</f>
        <v>134.92208199148956</v>
      </c>
      <c r="F8" s="461">
        <f>industrie!F18</f>
        <v>3439.6919558229038</v>
      </c>
      <c r="G8" s="461">
        <f>industrie!G18</f>
        <v>0</v>
      </c>
      <c r="H8" s="461">
        <f>industrie!H18</f>
        <v>0</v>
      </c>
      <c r="I8" s="461">
        <f>industrie!I18</f>
        <v>0</v>
      </c>
      <c r="J8" s="461">
        <f>industrie!J18</f>
        <v>59.286385462632204</v>
      </c>
      <c r="K8" s="461">
        <f>industrie!K18</f>
        <v>0</v>
      </c>
      <c r="L8" s="461">
        <f>industrie!L18</f>
        <v>0</v>
      </c>
      <c r="M8" s="461">
        <f>industrie!M18</f>
        <v>0</v>
      </c>
      <c r="N8" s="461">
        <f>industrie!N18</f>
        <v>319.16239954910361</v>
      </c>
      <c r="O8" s="461">
        <f>industrie!O18</f>
        <v>0</v>
      </c>
      <c r="P8" s="462">
        <f>industrie!P18</f>
        <v>0</v>
      </c>
      <c r="Q8" s="460">
        <f t="shared" si="0"/>
        <v>25828.413736826129</v>
      </c>
    </row>
    <row r="9" spans="1:17" s="466" customFormat="1">
      <c r="A9" s="464" t="s">
        <v>579</v>
      </c>
      <c r="B9" s="465">
        <f>transport!B14</f>
        <v>2.5851053405897244</v>
      </c>
      <c r="C9" s="465">
        <f>transport!C14</f>
        <v>0</v>
      </c>
      <c r="D9" s="465">
        <f>transport!D14</f>
        <v>7.3669105690658148</v>
      </c>
      <c r="E9" s="465">
        <f>transport!E14</f>
        <v>425.01344637802725</v>
      </c>
      <c r="F9" s="465">
        <f>transport!F14</f>
        <v>0</v>
      </c>
      <c r="G9" s="465">
        <f>transport!G14</f>
        <v>75167.921863295065</v>
      </c>
      <c r="H9" s="465">
        <f>transport!H14</f>
        <v>16322.674414977751</v>
      </c>
      <c r="I9" s="465">
        <f>transport!I14</f>
        <v>0</v>
      </c>
      <c r="J9" s="465">
        <f>transport!J14</f>
        <v>0</v>
      </c>
      <c r="K9" s="465">
        <f>transport!K14</f>
        <v>0</v>
      </c>
      <c r="L9" s="465">
        <f>transport!L14</f>
        <v>0</v>
      </c>
      <c r="M9" s="465">
        <f>transport!M14</f>
        <v>4093.8884571737794</v>
      </c>
      <c r="N9" s="465">
        <f>transport!N14</f>
        <v>0</v>
      </c>
      <c r="O9" s="465">
        <f>transport!O14</f>
        <v>0</v>
      </c>
      <c r="P9" s="465">
        <f>transport!P14</f>
        <v>0</v>
      </c>
      <c r="Q9" s="464">
        <f>SUM(B9:P9)</f>
        <v>96019.450197734273</v>
      </c>
    </row>
    <row r="10" spans="1:17">
      <c r="A10" s="460" t="s">
        <v>569</v>
      </c>
      <c r="B10" s="461">
        <f>transport!B54</f>
        <v>0</v>
      </c>
      <c r="C10" s="461">
        <f>transport!C54</f>
        <v>0</v>
      </c>
      <c r="D10" s="461">
        <f>transport!D54</f>
        <v>0</v>
      </c>
      <c r="E10" s="461">
        <f>transport!E54</f>
        <v>0</v>
      </c>
      <c r="F10" s="461">
        <f>transport!F54</f>
        <v>0</v>
      </c>
      <c r="G10" s="461">
        <f>transport!G54</f>
        <v>2504.7761973833153</v>
      </c>
      <c r="H10" s="461">
        <f>transport!H54</f>
        <v>0</v>
      </c>
      <c r="I10" s="461">
        <f>transport!I54</f>
        <v>0</v>
      </c>
      <c r="J10" s="461">
        <f>transport!J54</f>
        <v>0</v>
      </c>
      <c r="K10" s="461">
        <f>transport!K54</f>
        <v>0</v>
      </c>
      <c r="L10" s="461">
        <f>transport!L54</f>
        <v>0</v>
      </c>
      <c r="M10" s="461">
        <f>transport!M54</f>
        <v>109.98885471389301</v>
      </c>
      <c r="N10" s="461">
        <f>transport!N54</f>
        <v>0</v>
      </c>
      <c r="O10" s="461">
        <f>transport!O54</f>
        <v>0</v>
      </c>
      <c r="P10" s="462">
        <f>transport!P54</f>
        <v>0</v>
      </c>
      <c r="Q10" s="460">
        <f t="shared" si="0"/>
        <v>2614.7650520972084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1194.6969999999999</v>
      </c>
      <c r="C14" s="468"/>
      <c r="D14" s="468">
        <f>'SEAP template'!E25</f>
        <v>5194.0010000000002</v>
      </c>
      <c r="E14" s="468"/>
      <c r="F14" s="468"/>
      <c r="G14" s="468"/>
      <c r="H14" s="468"/>
      <c r="I14" s="468"/>
      <c r="J14" s="468"/>
      <c r="K14" s="468"/>
      <c r="L14" s="468"/>
      <c r="M14" s="468"/>
      <c r="N14" s="468"/>
      <c r="O14" s="468"/>
      <c r="P14" s="469"/>
      <c r="Q14" s="460">
        <f t="shared" si="0"/>
        <v>6388.6980000000003</v>
      </c>
    </row>
    <row r="15" spans="1:17" s="473" customFormat="1">
      <c r="A15" s="470" t="s">
        <v>573</v>
      </c>
      <c r="B15" s="471">
        <f ca="1">SUM(B4:B14)</f>
        <v>93472.895993164857</v>
      </c>
      <c r="C15" s="471">
        <f t="shared" ref="C15:Q15" ca="1" si="1">SUM(C4:C14)</f>
        <v>5.625</v>
      </c>
      <c r="D15" s="471">
        <f t="shared" ca="1" si="1"/>
        <v>124213.72763856908</v>
      </c>
      <c r="E15" s="471">
        <f t="shared" si="1"/>
        <v>8547.442671290748</v>
      </c>
      <c r="F15" s="471">
        <f t="shared" ca="1" si="1"/>
        <v>89308.519086069427</v>
      </c>
      <c r="G15" s="471">
        <f t="shared" si="1"/>
        <v>77672.698060678376</v>
      </c>
      <c r="H15" s="471">
        <f t="shared" si="1"/>
        <v>16322.674414977751</v>
      </c>
      <c r="I15" s="471">
        <f t="shared" si="1"/>
        <v>0</v>
      </c>
      <c r="J15" s="471">
        <f t="shared" si="1"/>
        <v>546.3300011176417</v>
      </c>
      <c r="K15" s="471">
        <f t="shared" si="1"/>
        <v>0</v>
      </c>
      <c r="L15" s="471">
        <f t="shared" ca="1" si="1"/>
        <v>0</v>
      </c>
      <c r="M15" s="471">
        <f t="shared" si="1"/>
        <v>4203.8773118876725</v>
      </c>
      <c r="N15" s="471">
        <f t="shared" ca="1" si="1"/>
        <v>25722.775801074189</v>
      </c>
      <c r="O15" s="471">
        <f t="shared" si="1"/>
        <v>104.74333333333335</v>
      </c>
      <c r="P15" s="471">
        <f t="shared" si="1"/>
        <v>362.26666666666665</v>
      </c>
      <c r="Q15" s="471">
        <f t="shared" ca="1" si="1"/>
        <v>440483.5759788297</v>
      </c>
    </row>
    <row r="17" spans="1:17">
      <c r="A17" s="474" t="s">
        <v>574</v>
      </c>
      <c r="B17" s="778">
        <f ca="1">huishoudens!B10</f>
        <v>0.17624754636467493</v>
      </c>
      <c r="C17" s="778">
        <f ca="1">huishoudens!C10</f>
        <v>0.22444444444444447</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8124.6200693452438</v>
      </c>
      <c r="C22" s="461">
        <f t="shared" ref="C22:C32" ca="1" si="3">C4*$C$17</f>
        <v>0</v>
      </c>
      <c r="D22" s="461">
        <f t="shared" ref="D22:D32" si="4">D4*$D$17</f>
        <v>15099.826892964003</v>
      </c>
      <c r="E22" s="461">
        <f t="shared" ref="E22:E32" si="5">E4*$E$17</f>
        <v>1727.6068099167255</v>
      </c>
      <c r="F22" s="461">
        <f t="shared" ref="F22:F32" si="6">F4*$F$17</f>
        <v>17657.393612686956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42609.447384912928</v>
      </c>
    </row>
    <row r="23" spans="1:17">
      <c r="A23" s="460" t="s">
        <v>156</v>
      </c>
      <c r="B23" s="461">
        <f t="shared" ca="1" si="2"/>
        <v>5101.474478425188</v>
      </c>
      <c r="C23" s="461">
        <f t="shared" ca="1" si="3"/>
        <v>0</v>
      </c>
      <c r="D23" s="461">
        <f t="shared" ca="1" si="4"/>
        <v>5531.8630294839995</v>
      </c>
      <c r="E23" s="461">
        <f t="shared" si="5"/>
        <v>77.137764482543872</v>
      </c>
      <c r="F23" s="461">
        <f t="shared" ca="1" si="6"/>
        <v>1839.1135724518615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12549.588844843593</v>
      </c>
    </row>
    <row r="24" spans="1:17">
      <c r="A24" s="460" t="s">
        <v>194</v>
      </c>
      <c r="B24" s="461">
        <f t="shared" ca="1" si="2"/>
        <v>252.78039966033953</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252.78039966033953</v>
      </c>
    </row>
    <row r="25" spans="1:17">
      <c r="A25" s="460" t="s">
        <v>112</v>
      </c>
      <c r="B25" s="461">
        <f t="shared" ca="1" si="2"/>
        <v>693.91161718930891</v>
      </c>
      <c r="C25" s="461">
        <f t="shared" ca="1" si="3"/>
        <v>1.2625000000000002</v>
      </c>
      <c r="D25" s="461">
        <f t="shared" si="4"/>
        <v>1386.0130999800001</v>
      </c>
      <c r="E25" s="461">
        <f t="shared" si="5"/>
        <v>8.4195470438499171</v>
      </c>
      <c r="F25" s="461">
        <f t="shared" si="6"/>
        <v>3430.4696586370087</v>
      </c>
      <c r="G25" s="461">
        <f t="shared" si="7"/>
        <v>0</v>
      </c>
      <c r="H25" s="461">
        <f t="shared" si="8"/>
        <v>0</v>
      </c>
      <c r="I25" s="461">
        <f t="shared" si="9"/>
        <v>0</v>
      </c>
      <c r="J25" s="461">
        <f t="shared" si="10"/>
        <v>172.41343994187335</v>
      </c>
      <c r="K25" s="461">
        <f t="shared" si="11"/>
        <v>0</v>
      </c>
      <c r="L25" s="461">
        <f t="shared" si="12"/>
        <v>0</v>
      </c>
      <c r="M25" s="461">
        <f t="shared" si="13"/>
        <v>0</v>
      </c>
      <c r="N25" s="461">
        <f t="shared" si="14"/>
        <v>0</v>
      </c>
      <c r="O25" s="461">
        <f t="shared" si="15"/>
        <v>0</v>
      </c>
      <c r="P25" s="462">
        <f t="shared" si="16"/>
        <v>0</v>
      </c>
      <c r="Q25" s="460">
        <f t="shared" ca="1" si="17"/>
        <v>5692.4898627920411</v>
      </c>
    </row>
    <row r="26" spans="1:17">
      <c r="A26" s="460" t="s">
        <v>685</v>
      </c>
      <c r="B26" s="461">
        <f t="shared" ca="1" si="2"/>
        <v>2090.5639724030657</v>
      </c>
      <c r="C26" s="461">
        <f t="shared" ca="1" si="3"/>
        <v>0</v>
      </c>
      <c r="D26" s="461">
        <f t="shared" si="4"/>
        <v>2022.793642628</v>
      </c>
      <c r="E26" s="461">
        <f t="shared" si="5"/>
        <v>30.627312612068131</v>
      </c>
      <c r="F26" s="461">
        <f t="shared" si="6"/>
        <v>918.3977522047154</v>
      </c>
      <c r="G26" s="461">
        <f t="shared" si="7"/>
        <v>0</v>
      </c>
      <c r="H26" s="461">
        <f t="shared" si="8"/>
        <v>0</v>
      </c>
      <c r="I26" s="461">
        <f t="shared" si="9"/>
        <v>0</v>
      </c>
      <c r="J26" s="461">
        <f t="shared" si="10"/>
        <v>20.987380453771799</v>
      </c>
      <c r="K26" s="461">
        <f t="shared" si="11"/>
        <v>0</v>
      </c>
      <c r="L26" s="461">
        <f t="shared" si="12"/>
        <v>0</v>
      </c>
      <c r="M26" s="461">
        <f t="shared" si="13"/>
        <v>0</v>
      </c>
      <c r="N26" s="461">
        <f t="shared" si="14"/>
        <v>0</v>
      </c>
      <c r="O26" s="461">
        <f t="shared" si="15"/>
        <v>0</v>
      </c>
      <c r="P26" s="462">
        <f t="shared" si="16"/>
        <v>0</v>
      </c>
      <c r="Q26" s="460">
        <f t="shared" ca="1" si="17"/>
        <v>5083.3700603016205</v>
      </c>
    </row>
    <row r="27" spans="1:17" s="466" customFormat="1">
      <c r="A27" s="464" t="s">
        <v>579</v>
      </c>
      <c r="B27" s="772">
        <f t="shared" ca="1" si="2"/>
        <v>0.45561847337315625</v>
      </c>
      <c r="C27" s="465">
        <f t="shared" ca="1" si="3"/>
        <v>0</v>
      </c>
      <c r="D27" s="465">
        <f t="shared" si="4"/>
        <v>1.4881159349512947</v>
      </c>
      <c r="E27" s="465">
        <f t="shared" si="5"/>
        <v>96.478052327812193</v>
      </c>
      <c r="F27" s="465">
        <f t="shared" si="6"/>
        <v>0</v>
      </c>
      <c r="G27" s="465">
        <f t="shared" si="7"/>
        <v>20069.835137499784</v>
      </c>
      <c r="H27" s="465">
        <f t="shared" si="8"/>
        <v>4064.34592932946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24232.602853565382</v>
      </c>
    </row>
    <row r="28" spans="1:17">
      <c r="A28" s="460" t="s">
        <v>569</v>
      </c>
      <c r="B28" s="461">
        <f t="shared" ca="1" si="2"/>
        <v>0</v>
      </c>
      <c r="C28" s="461">
        <f t="shared" ca="1" si="3"/>
        <v>0</v>
      </c>
      <c r="D28" s="461">
        <f t="shared" si="4"/>
        <v>0</v>
      </c>
      <c r="E28" s="461">
        <f t="shared" si="5"/>
        <v>0</v>
      </c>
      <c r="F28" s="461">
        <f t="shared" si="6"/>
        <v>0</v>
      </c>
      <c r="G28" s="461">
        <f t="shared" si="7"/>
        <v>668.77524470134517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668.77524470134517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210.56241489923804</v>
      </c>
      <c r="C32" s="461">
        <f t="shared" ca="1" si="3"/>
        <v>0</v>
      </c>
      <c r="D32" s="461">
        <f t="shared" si="4"/>
        <v>1049.188202</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1259.7506168992381</v>
      </c>
    </row>
    <row r="33" spans="1:17" s="473" customFormat="1">
      <c r="A33" s="470" t="s">
        <v>573</v>
      </c>
      <c r="B33" s="471">
        <f ca="1">SUM(B22:B32)</f>
        <v>16474.36857039576</v>
      </c>
      <c r="C33" s="471">
        <f t="shared" ref="C33:Q33" ca="1" si="18">SUM(C22:C32)</f>
        <v>1.2625000000000002</v>
      </c>
      <c r="D33" s="471">
        <f t="shared" ca="1" si="18"/>
        <v>25091.172982990953</v>
      </c>
      <c r="E33" s="471">
        <f t="shared" si="18"/>
        <v>1940.2694863829997</v>
      </c>
      <c r="F33" s="471">
        <f t="shared" ca="1" si="18"/>
        <v>23845.374595980542</v>
      </c>
      <c r="G33" s="471">
        <f t="shared" si="18"/>
        <v>20738.610382201128</v>
      </c>
      <c r="H33" s="471">
        <f t="shared" si="18"/>
        <v>4064.34592932946</v>
      </c>
      <c r="I33" s="471">
        <f t="shared" si="18"/>
        <v>0</v>
      </c>
      <c r="J33" s="471">
        <f t="shared" si="18"/>
        <v>193.40082039564516</v>
      </c>
      <c r="K33" s="471">
        <f t="shared" si="18"/>
        <v>0</v>
      </c>
      <c r="L33" s="471">
        <f t="shared" ca="1" si="18"/>
        <v>0</v>
      </c>
      <c r="M33" s="471">
        <f t="shared" si="18"/>
        <v>0</v>
      </c>
      <c r="N33" s="471">
        <f t="shared" ca="1" si="18"/>
        <v>0</v>
      </c>
      <c r="O33" s="471">
        <f t="shared" si="18"/>
        <v>0</v>
      </c>
      <c r="P33" s="471">
        <f t="shared" si="18"/>
        <v>0</v>
      </c>
      <c r="Q33" s="471">
        <f t="shared" ca="1" si="18"/>
        <v>92348.805267676507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9932.805633004109</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8995.4537294106813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1.125</v>
      </c>
      <c r="D8" s="1037">
        <f>'SEAP template'!D76</f>
        <v>1.25</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0.2525</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18928.259362414792</v>
      </c>
      <c r="C10" s="1041">
        <f>SUM(C4:C9)</f>
        <v>1.125</v>
      </c>
      <c r="D10" s="1041">
        <f t="shared" ref="D10:H10" si="0">SUM(D8:D9)</f>
        <v>1.25</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0.2525</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0.17624754636467493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5.625</v>
      </c>
      <c r="D17" s="1038">
        <f>'SEAP template'!D87</f>
        <v>6.25</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1.2625000000000002</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5.625</v>
      </c>
      <c r="D20" s="1041">
        <f t="shared" ref="D20:H20" si="2">SUM(D17:D19)</f>
        <v>6.25</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1.2625000000000002</v>
      </c>
    </row>
    <row r="22" spans="1:16">
      <c r="A22" s="474" t="s">
        <v>932</v>
      </c>
      <c r="B22" s="778" t="s">
        <v>926</v>
      </c>
      <c r="C22" s="778">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0.17624754636467493</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0.17624754636467493</v>
      </c>
      <c r="C17" s="510">
        <f ca="1">'EF ele_warmte'!B22</f>
        <v>0.22444444444444447</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0.17624754636467493</v>
      </c>
      <c r="C29" s="511">
        <f ca="1">'EF ele_warmte'!B22</f>
        <v>0.22444444444444447</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72021</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10186</v>
      </c>
      <c r="C9" s="338">
        <v>10742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3525</v>
      </c>
    </row>
    <row r="15" spans="1:6">
      <c r="A15" s="1286" t="s">
        <v>184</v>
      </c>
      <c r="B15" s="335">
        <v>610</v>
      </c>
    </row>
    <row r="16" spans="1:6">
      <c r="A16" s="1286" t="s">
        <v>6</v>
      </c>
      <c r="B16" s="335">
        <v>1559</v>
      </c>
    </row>
    <row r="17" spans="1:6">
      <c r="A17" s="1286" t="s">
        <v>7</v>
      </c>
      <c r="B17" s="335">
        <v>407</v>
      </c>
    </row>
    <row r="18" spans="1:6">
      <c r="A18" s="1286" t="s">
        <v>8</v>
      </c>
      <c r="B18" s="335">
        <v>1047</v>
      </c>
    </row>
    <row r="19" spans="1:6">
      <c r="A19" s="1286" t="s">
        <v>9</v>
      </c>
      <c r="B19" s="335">
        <v>862</v>
      </c>
    </row>
    <row r="20" spans="1:6">
      <c r="A20" s="1286" t="s">
        <v>10</v>
      </c>
      <c r="B20" s="335">
        <v>454</v>
      </c>
    </row>
    <row r="21" spans="1:6">
      <c r="A21" s="1286" t="s">
        <v>11</v>
      </c>
      <c r="B21" s="335">
        <v>5709</v>
      </c>
    </row>
    <row r="22" spans="1:6">
      <c r="A22" s="1286" t="s">
        <v>12</v>
      </c>
      <c r="B22" s="335">
        <v>12347</v>
      </c>
    </row>
    <row r="23" spans="1:6">
      <c r="A23" s="1286" t="s">
        <v>13</v>
      </c>
      <c r="B23" s="335">
        <v>240</v>
      </c>
    </row>
    <row r="24" spans="1:6">
      <c r="A24" s="1286" t="s">
        <v>14</v>
      </c>
      <c r="B24" s="335">
        <v>18</v>
      </c>
    </row>
    <row r="25" spans="1:6">
      <c r="A25" s="1286" t="s">
        <v>15</v>
      </c>
      <c r="B25" s="335">
        <v>1538</v>
      </c>
    </row>
    <row r="26" spans="1:6">
      <c r="A26" s="1286" t="s">
        <v>16</v>
      </c>
      <c r="B26" s="335">
        <v>198</v>
      </c>
    </row>
    <row r="27" spans="1:6">
      <c r="A27" s="1286" t="s">
        <v>17</v>
      </c>
      <c r="B27" s="335">
        <v>0</v>
      </c>
    </row>
    <row r="28" spans="1:6" s="341" customFormat="1">
      <c r="A28" s="1287" t="s">
        <v>18</v>
      </c>
      <c r="B28" s="1287">
        <v>362292</v>
      </c>
    </row>
    <row r="29" spans="1:6">
      <c r="A29" s="1287" t="s">
        <v>944</v>
      </c>
      <c r="B29" s="1287">
        <v>298</v>
      </c>
      <c r="C29" s="341"/>
      <c r="D29" s="341"/>
      <c r="E29" s="341"/>
      <c r="F29" s="341"/>
    </row>
    <row r="30" spans="1:6">
      <c r="A30" s="1282" t="s">
        <v>945</v>
      </c>
      <c r="B30" s="1282">
        <v>49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18</v>
      </c>
      <c r="F36" s="335">
        <v>67583</v>
      </c>
    </row>
    <row r="37" spans="1:6">
      <c r="A37" s="1286" t="s">
        <v>25</v>
      </c>
      <c r="B37" s="1286" t="s">
        <v>28</v>
      </c>
      <c r="C37" s="335">
        <v>0</v>
      </c>
      <c r="D37" s="335">
        <v>0</v>
      </c>
      <c r="E37" s="335">
        <v>0</v>
      </c>
      <c r="F37" s="335">
        <v>0</v>
      </c>
    </row>
    <row r="38" spans="1:6">
      <c r="A38" s="1286" t="s">
        <v>25</v>
      </c>
      <c r="B38" s="1286" t="s">
        <v>29</v>
      </c>
      <c r="C38" s="335">
        <v>1</v>
      </c>
      <c r="D38" s="335">
        <v>444327</v>
      </c>
      <c r="E38" s="335">
        <v>1</v>
      </c>
      <c r="F38" s="335">
        <v>2056</v>
      </c>
    </row>
    <row r="39" spans="1:6">
      <c r="A39" s="1286" t="s">
        <v>30</v>
      </c>
      <c r="B39" s="1286" t="s">
        <v>31</v>
      </c>
      <c r="C39" s="335">
        <v>4966</v>
      </c>
      <c r="D39" s="335">
        <v>82873191</v>
      </c>
      <c r="E39" s="335">
        <v>10313</v>
      </c>
      <c r="F39" s="335">
        <v>40077403</v>
      </c>
    </row>
    <row r="40" spans="1:6">
      <c r="A40" s="1286" t="s">
        <v>30</v>
      </c>
      <c r="B40" s="1286" t="s">
        <v>29</v>
      </c>
      <c r="C40" s="335">
        <v>0</v>
      </c>
      <c r="D40" s="335">
        <v>0</v>
      </c>
      <c r="E40" s="335">
        <v>0</v>
      </c>
      <c r="F40" s="335">
        <v>0</v>
      </c>
    </row>
    <row r="41" spans="1:6">
      <c r="A41" s="1286" t="s">
        <v>32</v>
      </c>
      <c r="B41" s="1286" t="s">
        <v>33</v>
      </c>
      <c r="C41" s="335">
        <v>49</v>
      </c>
      <c r="D41" s="335">
        <v>1935669</v>
      </c>
      <c r="E41" s="335">
        <v>163</v>
      </c>
      <c r="F41" s="335">
        <v>2142512</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8</v>
      </c>
      <c r="D44" s="335">
        <v>466381</v>
      </c>
      <c r="E44" s="335">
        <v>31</v>
      </c>
      <c r="F44" s="335">
        <v>1504776</v>
      </c>
    </row>
    <row r="45" spans="1:6">
      <c r="A45" s="1286" t="s">
        <v>32</v>
      </c>
      <c r="B45" s="1286" t="s">
        <v>37</v>
      </c>
      <c r="C45" s="335">
        <v>5</v>
      </c>
      <c r="D45" s="335">
        <v>7466811</v>
      </c>
      <c r="E45" s="335">
        <v>10</v>
      </c>
      <c r="F45" s="335">
        <v>2577775</v>
      </c>
    </row>
    <row r="46" spans="1:6">
      <c r="A46" s="1286" t="s">
        <v>32</v>
      </c>
      <c r="B46" s="1286" t="s">
        <v>38</v>
      </c>
      <c r="C46" s="335">
        <v>0</v>
      </c>
      <c r="D46" s="335">
        <v>0</v>
      </c>
      <c r="E46" s="335">
        <v>0</v>
      </c>
      <c r="F46" s="335">
        <v>0</v>
      </c>
    </row>
    <row r="47" spans="1:6">
      <c r="A47" s="1286" t="s">
        <v>32</v>
      </c>
      <c r="B47" s="1286" t="s">
        <v>39</v>
      </c>
      <c r="C47" s="335">
        <v>0</v>
      </c>
      <c r="D47" s="335">
        <v>0</v>
      </c>
      <c r="E47" s="335">
        <v>4</v>
      </c>
      <c r="F47" s="335">
        <v>54048</v>
      </c>
    </row>
    <row r="48" spans="1:6">
      <c r="A48" s="1286" t="s">
        <v>32</v>
      </c>
      <c r="B48" s="1286" t="s">
        <v>29</v>
      </c>
      <c r="C48" s="335">
        <v>5</v>
      </c>
      <c r="D48" s="335">
        <v>477838</v>
      </c>
      <c r="E48" s="335">
        <v>2</v>
      </c>
      <c r="F48" s="335">
        <v>3456157</v>
      </c>
    </row>
    <row r="49" spans="1:6">
      <c r="A49" s="1286" t="s">
        <v>32</v>
      </c>
      <c r="B49" s="1286" t="s">
        <v>40</v>
      </c>
      <c r="C49" s="335">
        <v>0</v>
      </c>
      <c r="D49" s="335">
        <v>0</v>
      </c>
      <c r="E49" s="335">
        <v>7</v>
      </c>
      <c r="F49" s="335">
        <v>1308802</v>
      </c>
    </row>
    <row r="50" spans="1:6">
      <c r="A50" s="1286" t="s">
        <v>32</v>
      </c>
      <c r="B50" s="1286" t="s">
        <v>41</v>
      </c>
      <c r="C50" s="335">
        <v>6</v>
      </c>
      <c r="D50" s="335">
        <v>755108</v>
      </c>
      <c r="E50" s="335">
        <v>23</v>
      </c>
      <c r="F50" s="335">
        <v>817451</v>
      </c>
    </row>
    <row r="51" spans="1:6">
      <c r="A51" s="1286" t="s">
        <v>42</v>
      </c>
      <c r="B51" s="1286" t="s">
        <v>43</v>
      </c>
      <c r="C51" s="335">
        <v>28</v>
      </c>
      <c r="D51" s="335">
        <v>7615245</v>
      </c>
      <c r="E51" s="335">
        <v>98</v>
      </c>
      <c r="F51" s="335">
        <v>3937142</v>
      </c>
    </row>
    <row r="52" spans="1:6">
      <c r="A52" s="1286" t="s">
        <v>42</v>
      </c>
      <c r="B52" s="1286" t="s">
        <v>29</v>
      </c>
      <c r="C52" s="335">
        <v>0</v>
      </c>
      <c r="D52" s="335">
        <v>0</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119</v>
      </c>
      <c r="F54" s="335">
        <v>1434235</v>
      </c>
    </row>
    <row r="55" spans="1:6">
      <c r="A55" s="1286" t="s">
        <v>46</v>
      </c>
      <c r="B55" s="1286" t="s">
        <v>29</v>
      </c>
      <c r="C55" s="335">
        <v>0</v>
      </c>
      <c r="D55" s="335">
        <v>0</v>
      </c>
      <c r="E55" s="335">
        <v>0</v>
      </c>
      <c r="F55" s="335">
        <v>0</v>
      </c>
    </row>
    <row r="56" spans="1:6">
      <c r="A56" s="1286" t="s">
        <v>48</v>
      </c>
      <c r="B56" s="1286" t="s">
        <v>29</v>
      </c>
      <c r="C56" s="335">
        <v>83</v>
      </c>
      <c r="D56" s="335">
        <v>5194001</v>
      </c>
      <c r="E56" s="335">
        <v>167</v>
      </c>
      <c r="F56" s="335">
        <v>1194697</v>
      </c>
    </row>
    <row r="57" spans="1:6">
      <c r="A57" s="1286" t="s">
        <v>49</v>
      </c>
      <c r="B57" s="1286" t="s">
        <v>50</v>
      </c>
      <c r="C57" s="335">
        <v>58</v>
      </c>
      <c r="D57" s="335">
        <v>7627614</v>
      </c>
      <c r="E57" s="335">
        <v>148</v>
      </c>
      <c r="F57" s="335">
        <v>4893354</v>
      </c>
    </row>
    <row r="58" spans="1:6">
      <c r="A58" s="1286" t="s">
        <v>49</v>
      </c>
      <c r="B58" s="1286" t="s">
        <v>51</v>
      </c>
      <c r="C58" s="335">
        <v>21</v>
      </c>
      <c r="D58" s="335">
        <v>3343160</v>
      </c>
      <c r="E58" s="335">
        <v>45</v>
      </c>
      <c r="F58" s="335">
        <v>2913632</v>
      </c>
    </row>
    <row r="59" spans="1:6">
      <c r="A59" s="1286" t="s">
        <v>49</v>
      </c>
      <c r="B59" s="1286" t="s">
        <v>52</v>
      </c>
      <c r="C59" s="335">
        <v>144</v>
      </c>
      <c r="D59" s="335">
        <v>6458045</v>
      </c>
      <c r="E59" s="335">
        <v>328</v>
      </c>
      <c r="F59" s="335">
        <v>9924536</v>
      </c>
    </row>
    <row r="60" spans="1:6">
      <c r="A60" s="1286" t="s">
        <v>49</v>
      </c>
      <c r="B60" s="1286" t="s">
        <v>53</v>
      </c>
      <c r="C60" s="335">
        <v>77</v>
      </c>
      <c r="D60" s="335">
        <v>4356065</v>
      </c>
      <c r="E60" s="335">
        <v>176</v>
      </c>
      <c r="F60" s="335">
        <v>4524042</v>
      </c>
    </row>
    <row r="61" spans="1:6">
      <c r="A61" s="1286" t="s">
        <v>49</v>
      </c>
      <c r="B61" s="1286" t="s">
        <v>54</v>
      </c>
      <c r="C61" s="335">
        <v>124</v>
      </c>
      <c r="D61" s="335">
        <v>5141692</v>
      </c>
      <c r="E61" s="335">
        <v>415</v>
      </c>
      <c r="F61" s="335">
        <v>4450463</v>
      </c>
    </row>
    <row r="62" spans="1:6">
      <c r="A62" s="1286" t="s">
        <v>49</v>
      </c>
      <c r="B62" s="1286" t="s">
        <v>55</v>
      </c>
      <c r="C62" s="335">
        <v>15</v>
      </c>
      <c r="D62" s="335">
        <v>3434245</v>
      </c>
      <c r="E62" s="335">
        <v>35</v>
      </c>
      <c r="F62" s="335">
        <v>2238912</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3</v>
      </c>
      <c r="D65" s="335">
        <v>77572</v>
      </c>
      <c r="E65" s="335">
        <v>0</v>
      </c>
      <c r="F65" s="335">
        <v>0</v>
      </c>
    </row>
    <row r="66" spans="1:6">
      <c r="A66" s="1286" t="s">
        <v>56</v>
      </c>
      <c r="B66" s="1286" t="s">
        <v>58</v>
      </c>
      <c r="C66" s="335">
        <v>0</v>
      </c>
      <c r="D66" s="335">
        <v>0</v>
      </c>
      <c r="E66" s="335">
        <v>3</v>
      </c>
      <c r="F66" s="335">
        <v>340192</v>
      </c>
    </row>
    <row r="67" spans="1:6">
      <c r="A67" s="1287" t="s">
        <v>56</v>
      </c>
      <c r="B67" s="1287" t="s">
        <v>59</v>
      </c>
      <c r="C67" s="335">
        <v>0</v>
      </c>
      <c r="D67" s="335">
        <v>0</v>
      </c>
      <c r="E67" s="335">
        <v>0</v>
      </c>
      <c r="F67" s="335">
        <v>0</v>
      </c>
    </row>
    <row r="68" spans="1:6">
      <c r="A68" s="1282" t="s">
        <v>56</v>
      </c>
      <c r="B68" s="1282" t="s">
        <v>60</v>
      </c>
      <c r="C68" s="335">
        <v>0</v>
      </c>
      <c r="D68" s="335">
        <v>0</v>
      </c>
      <c r="E68" s="335">
        <v>4</v>
      </c>
      <c r="F68" s="335">
        <v>40108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97034610</v>
      </c>
      <c r="E73" s="335">
        <v>99981299.946342066</v>
      </c>
    </row>
    <row r="74" spans="1:6">
      <c r="A74" s="1286" t="s">
        <v>64</v>
      </c>
      <c r="B74" s="1286" t="s">
        <v>772</v>
      </c>
      <c r="C74" s="1297" t="s">
        <v>766</v>
      </c>
      <c r="D74" s="335">
        <v>5137555.1299926825</v>
      </c>
      <c r="E74" s="335">
        <v>5379814.8367400002</v>
      </c>
    </row>
    <row r="75" spans="1:6">
      <c r="A75" s="1286" t="s">
        <v>65</v>
      </c>
      <c r="B75" s="1286" t="s">
        <v>771</v>
      </c>
      <c r="C75" s="1297" t="s">
        <v>767</v>
      </c>
      <c r="D75" s="335">
        <v>25831446</v>
      </c>
      <c r="E75" s="335">
        <v>26756782.398904629</v>
      </c>
    </row>
    <row r="76" spans="1:6">
      <c r="A76" s="1286" t="s">
        <v>65</v>
      </c>
      <c r="B76" s="1286" t="s">
        <v>772</v>
      </c>
      <c r="C76" s="1297" t="s">
        <v>768</v>
      </c>
      <c r="D76" s="335">
        <v>417304.12999268272</v>
      </c>
      <c r="E76" s="335">
        <v>475188.97963412403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687953.74001463456</v>
      </c>
      <c r="C83" s="335">
        <v>650573.32750793139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9932.805633004109</v>
      </c>
    </row>
    <row r="91" spans="1:6">
      <c r="A91" s="1286" t="s">
        <v>68</v>
      </c>
      <c r="B91" s="335">
        <v>6020.3738878242466</v>
      </c>
    </row>
    <row r="92" spans="1:6">
      <c r="A92" s="1282" t="s">
        <v>69</v>
      </c>
      <c r="B92" s="338">
        <v>2975.0798415864356</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2004</v>
      </c>
    </row>
    <row r="98" spans="1:6">
      <c r="A98" s="1286" t="s">
        <v>72</v>
      </c>
      <c r="B98" s="335">
        <v>3</v>
      </c>
    </row>
    <row r="99" spans="1:6">
      <c r="A99" s="1286" t="s">
        <v>73</v>
      </c>
      <c r="B99" s="335">
        <v>78</v>
      </c>
    </row>
    <row r="100" spans="1:6">
      <c r="A100" s="1286" t="s">
        <v>74</v>
      </c>
      <c r="B100" s="335">
        <v>269</v>
      </c>
    </row>
    <row r="101" spans="1:6">
      <c r="A101" s="1286" t="s">
        <v>75</v>
      </c>
      <c r="B101" s="335">
        <v>71</v>
      </c>
    </row>
    <row r="102" spans="1:6">
      <c r="A102" s="1286" t="s">
        <v>76</v>
      </c>
      <c r="B102" s="335">
        <v>125</v>
      </c>
    </row>
    <row r="103" spans="1:6">
      <c r="A103" s="1286" t="s">
        <v>77</v>
      </c>
      <c r="B103" s="335">
        <v>108</v>
      </c>
    </row>
    <row r="104" spans="1:6">
      <c r="A104" s="1286" t="s">
        <v>78</v>
      </c>
      <c r="B104" s="335">
        <v>6016</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4</v>
      </c>
      <c r="C123" s="335">
        <v>8</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58</v>
      </c>
    </row>
    <row r="130" spans="1:6">
      <c r="A130" s="1286" t="s">
        <v>295</v>
      </c>
      <c r="B130" s="335">
        <v>0</v>
      </c>
    </row>
    <row r="131" spans="1:6">
      <c r="A131" s="1286" t="s">
        <v>296</v>
      </c>
      <c r="B131" s="335">
        <v>0</v>
      </c>
    </row>
    <row r="132" spans="1:6">
      <c r="A132" s="1282" t="s">
        <v>297</v>
      </c>
      <c r="B132" s="338">
        <v>15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93472.895993164828</v>
      </c>
      <c r="C3" s="44" t="s">
        <v>170</v>
      </c>
      <c r="D3" s="44"/>
      <c r="E3" s="157"/>
      <c r="F3" s="44"/>
      <c r="G3" s="44"/>
      <c r="H3" s="44"/>
      <c r="I3" s="44"/>
      <c r="J3" s="44"/>
      <c r="K3" s="97"/>
    </row>
    <row r="4" spans="1:11">
      <c r="A4" s="365" t="s">
        <v>171</v>
      </c>
      <c r="B4" s="50">
        <f>IF(ISERROR('SEAP template'!B78+'SEAP template'!C78),0,'SEAP template'!B78+'SEAP template'!C78)</f>
        <v>18929.384362414792</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0.2525</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0.17624754636467493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1.2625000000000002</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5.625</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0.22444444444444447</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1434.2349999999999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1434.2349999999999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0.17624754636467493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252.78039966033953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40077.402999999998</v>
      </c>
      <c r="C5" s="18">
        <f>IF(ISERROR('Eigen informatie GS &amp; warmtenet'!B57),0,'Eigen informatie GS &amp; warmtenet'!B57)</f>
        <v>0</v>
      </c>
      <c r="D5" s="31">
        <f>(SUM(HH_hh_gas_kWh,HH_rest_gas_kWh)/1000)*0.902</f>
        <v>74751.61828200001</v>
      </c>
      <c r="E5" s="18">
        <f>B46*B57</f>
        <v>7610.6026868578219</v>
      </c>
      <c r="F5" s="18">
        <f>B51*B62</f>
        <v>66132.560347142149</v>
      </c>
      <c r="G5" s="19"/>
      <c r="H5" s="18"/>
      <c r="I5" s="18"/>
      <c r="J5" s="18">
        <f>B50*B61+C50*C61</f>
        <v>0</v>
      </c>
      <c r="K5" s="18"/>
      <c r="L5" s="18"/>
      <c r="M5" s="18"/>
      <c r="N5" s="18">
        <f>B48*B59+C48*C59</f>
        <v>22497.674582068754</v>
      </c>
      <c r="O5" s="18">
        <f>B69*B70*B71</f>
        <v>104.74333333333335</v>
      </c>
      <c r="P5" s="18">
        <f>B77*B78*B79/1000-B77*B78*B79/1000/B80</f>
        <v>362.26666666666665</v>
      </c>
    </row>
    <row r="6" spans="1:16">
      <c r="A6" s="17" t="s">
        <v>639</v>
      </c>
      <c r="B6" s="780">
        <f>kWh_PV_kleiner_dan_10kW</f>
        <v>6020.3738878242466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46097.776887824242</v>
      </c>
      <c r="C8" s="22">
        <f>C5</f>
        <v>0</v>
      </c>
      <c r="D8" s="22">
        <f>D5</f>
        <v>74751.61828200001</v>
      </c>
      <c r="E8" s="22">
        <f>E5</f>
        <v>7610.6026868578219</v>
      </c>
      <c r="F8" s="22">
        <f>F5</f>
        <v>66132.560347142149</v>
      </c>
      <c r="G8" s="22"/>
      <c r="H8" s="22"/>
      <c r="I8" s="22"/>
      <c r="J8" s="22">
        <f>J5</f>
        <v>0</v>
      </c>
      <c r="K8" s="22"/>
      <c r="L8" s="22">
        <f>L5</f>
        <v>0</v>
      </c>
      <c r="M8" s="22">
        <f>M5</f>
        <v>0</v>
      </c>
      <c r="N8" s="22">
        <f>N5</f>
        <v>22497.674582068754</v>
      </c>
      <c r="O8" s="22">
        <f>O5</f>
        <v>104.74333333333335</v>
      </c>
      <c r="P8" s="22">
        <f>P5</f>
        <v>362.26666666666665</v>
      </c>
    </row>
    <row r="9" spans="1:16">
      <c r="B9" s="20"/>
      <c r="C9" s="20"/>
      <c r="D9" s="262"/>
      <c r="E9" s="20"/>
      <c r="F9" s="20"/>
      <c r="G9" s="20"/>
      <c r="H9" s="20"/>
      <c r="I9" s="20"/>
      <c r="J9" s="20"/>
      <c r="K9" s="20"/>
      <c r="L9" s="20"/>
      <c r="M9" s="20"/>
      <c r="N9" s="20"/>
      <c r="O9" s="20"/>
      <c r="P9" s="20"/>
    </row>
    <row r="10" spans="1:16">
      <c r="A10" s="25" t="s">
        <v>214</v>
      </c>
      <c r="B10" s="26">
        <f ca="1">'EF ele_warmte'!B12</f>
        <v>0.17624754636467493</v>
      </c>
      <c r="C10" s="26">
        <f ca="1">'EF ele_warmte'!B22</f>
        <v>0.22444444444444447</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8124.6200693452438</v>
      </c>
      <c r="C12" s="24">
        <f ca="1">C10*C8</f>
        <v>0</v>
      </c>
      <c r="D12" s="24">
        <f>D8*D10</f>
        <v>15099.826892964003</v>
      </c>
      <c r="E12" s="24">
        <f>E10*E8</f>
        <v>1727.6068099167255</v>
      </c>
      <c r="F12" s="24">
        <f>F10*F8</f>
        <v>17657.393612686956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2004</v>
      </c>
      <c r="C18" s="169" t="s">
        <v>111</v>
      </c>
      <c r="D18" s="231"/>
      <c r="E18" s="16"/>
    </row>
    <row r="19" spans="1:7">
      <c r="A19" s="174" t="s">
        <v>72</v>
      </c>
      <c r="B19" s="38">
        <f>aantalw2001_ander</f>
        <v>3</v>
      </c>
      <c r="C19" s="169" t="s">
        <v>111</v>
      </c>
      <c r="D19" s="232"/>
      <c r="E19" s="16"/>
    </row>
    <row r="20" spans="1:7">
      <c r="A20" s="174" t="s">
        <v>73</v>
      </c>
      <c r="B20" s="38">
        <f>aantalw2001_propaan</f>
        <v>78</v>
      </c>
      <c r="C20" s="170">
        <f>IF(ISERROR(B20/SUM($B$20,$B$21,$B$22)*100),0,B20/SUM($B$20,$B$21,$B$22)*100)</f>
        <v>18.660287081339714</v>
      </c>
      <c r="D20" s="232"/>
      <c r="E20" s="16"/>
    </row>
    <row r="21" spans="1:7">
      <c r="A21" s="174" t="s">
        <v>74</v>
      </c>
      <c r="B21" s="38">
        <f>aantalw2001_elektriciteit</f>
        <v>269</v>
      </c>
      <c r="C21" s="170">
        <f>IF(ISERROR(B21/SUM($B$20,$B$21,$B$22)*100),0,B21/SUM($B$20,$B$21,$B$22)*100)</f>
        <v>64.354066985645929</v>
      </c>
      <c r="D21" s="232"/>
      <c r="E21" s="16"/>
    </row>
    <row r="22" spans="1:7">
      <c r="A22" s="174" t="s">
        <v>75</v>
      </c>
      <c r="B22" s="38">
        <f>aantalw2001_hout</f>
        <v>71</v>
      </c>
      <c r="C22" s="170">
        <f>IF(ISERROR(B22/SUM($B$20,$B$21,$B$22)*100),0,B22/SUM($B$20,$B$21,$B$22)*100)</f>
        <v>16.985645933014354</v>
      </c>
      <c r="D22" s="232"/>
      <c r="E22" s="16"/>
    </row>
    <row r="23" spans="1:7">
      <c r="A23" s="174" t="s">
        <v>76</v>
      </c>
      <c r="B23" s="38">
        <f>aantalw2001_niet_gespec</f>
        <v>125</v>
      </c>
      <c r="C23" s="169" t="s">
        <v>111</v>
      </c>
      <c r="D23" s="231"/>
      <c r="E23" s="16"/>
    </row>
    <row r="24" spans="1:7">
      <c r="A24" s="174" t="s">
        <v>77</v>
      </c>
      <c r="B24" s="38">
        <f>aantalw2001_steenkool</f>
        <v>108</v>
      </c>
      <c r="C24" s="169" t="s">
        <v>111</v>
      </c>
      <c r="D24" s="232"/>
      <c r="E24" s="16"/>
    </row>
    <row r="25" spans="1:7">
      <c r="A25" s="174" t="s">
        <v>78</v>
      </c>
      <c r="B25" s="38">
        <f>aantalw2001_stookolie</f>
        <v>6016</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10186</v>
      </c>
      <c r="C28" s="37"/>
      <c r="D28" s="231"/>
    </row>
    <row r="29" spans="1:7" s="16" customFormat="1">
      <c r="A29" s="233" t="s">
        <v>666</v>
      </c>
      <c r="B29" s="38">
        <f>SUM(HH_hh_gas_aantal,HH_rest_gas_aantal)</f>
        <v>4966</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4966</v>
      </c>
      <c r="C32" s="170">
        <f>IF(ISERROR(B32/SUM($B$32,$B$34,$B$35,$B$36,$B$38,$B$39)*100),0,B32/SUM($B$32,$B$34,$B$35,$B$36,$B$38,$B$39)*100)</f>
        <v>48.844300186879117</v>
      </c>
      <c r="D32" s="236"/>
      <c r="G32" s="16"/>
    </row>
    <row r="33" spans="1:7">
      <c r="A33" s="174" t="s">
        <v>72</v>
      </c>
      <c r="B33" s="35" t="s">
        <v>111</v>
      </c>
      <c r="C33" s="170"/>
      <c r="D33" s="236"/>
      <c r="G33" s="16"/>
    </row>
    <row r="34" spans="1:7">
      <c r="A34" s="174" t="s">
        <v>73</v>
      </c>
      <c r="B34" s="34">
        <f>IF((($B$28-$B$32-$B$39-$B$77-$B$38)*C20/100)&lt;0,0,($B$28-$B$32-$B$39-$B$77-$B$38)*C20/100)</f>
        <v>345.36459330143543</v>
      </c>
      <c r="C34" s="170">
        <f>IF(ISERROR(B34/SUM($B$32,$B$34,$B$35,$B$36,$B$38,$B$39)*100),0,B34/SUM($B$32,$B$34,$B$35,$B$36,$B$38,$B$39)*100)</f>
        <v>3.3969174122301111</v>
      </c>
      <c r="D34" s="236"/>
      <c r="G34" s="16"/>
    </row>
    <row r="35" spans="1:7">
      <c r="A35" s="174" t="s">
        <v>74</v>
      </c>
      <c r="B35" s="34">
        <f>IF((($B$28-$B$32-$B$39-$B$77-$B$38)*C21/100)&lt;0,0,($B$28-$B$32-$B$39-$B$77-$B$38)*C21/100)</f>
        <v>1191.065071770335</v>
      </c>
      <c r="C35" s="170">
        <f>IF(ISERROR(B35/SUM($B$32,$B$34,$B$35,$B$36,$B$38,$B$39)*100),0,B35/SUM($B$32,$B$34,$B$35,$B$36,$B$38,$B$39)*100)</f>
        <v>11.715010049870513</v>
      </c>
      <c r="D35" s="236"/>
      <c r="G35" s="16"/>
    </row>
    <row r="36" spans="1:7">
      <c r="A36" s="174" t="s">
        <v>75</v>
      </c>
      <c r="B36" s="34">
        <f>IF((($B$28-$B$32-$B$39-$B$77-$B$38)*C22/100)&lt;0,0,($B$28-$B$32-$B$39-$B$77-$B$38)*C22/100)</f>
        <v>314.37033492822968</v>
      </c>
      <c r="C36" s="170">
        <f>IF(ISERROR(B36/SUM($B$32,$B$34,$B$35,$B$36,$B$38,$B$39)*100),0,B36/SUM($B$32,$B$34,$B$35,$B$36,$B$38,$B$39)*100)</f>
        <v>3.0920658495940758</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3350.2</v>
      </c>
      <c r="C39" s="170">
        <f>IF(ISERROR(B39/SUM($B$32,$B$34,$B$35,$B$36,$B$38,$B$39)*100),0,B39/SUM($B$32,$B$34,$B$35,$B$36,$B$38,$B$39)*100)</f>
        <v>32.95170650142618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4966</v>
      </c>
      <c r="C44" s="35" t="s">
        <v>111</v>
      </c>
      <c r="D44" s="177"/>
    </row>
    <row r="45" spans="1:7">
      <c r="A45" s="174" t="s">
        <v>72</v>
      </c>
      <c r="B45" s="34" t="str">
        <f t="shared" si="0"/>
        <v>-</v>
      </c>
      <c r="C45" s="35" t="s">
        <v>111</v>
      </c>
      <c r="D45" s="177"/>
    </row>
    <row r="46" spans="1:7">
      <c r="A46" s="174" t="s">
        <v>73</v>
      </c>
      <c r="B46" s="34">
        <f t="shared" si="0"/>
        <v>345.36459330143543</v>
      </c>
      <c r="C46" s="35" t="s">
        <v>111</v>
      </c>
      <c r="D46" s="177"/>
    </row>
    <row r="47" spans="1:7">
      <c r="A47" s="174" t="s">
        <v>74</v>
      </c>
      <c r="B47" s="34">
        <f t="shared" si="0"/>
        <v>1191.065071770335</v>
      </c>
      <c r="C47" s="35" t="s">
        <v>111</v>
      </c>
      <c r="D47" s="177"/>
    </row>
    <row r="48" spans="1:7">
      <c r="A48" s="174" t="s">
        <v>75</v>
      </c>
      <c r="B48" s="34">
        <f t="shared" si="0"/>
        <v>314.37033492822968</v>
      </c>
      <c r="C48" s="34">
        <f>B48*10</f>
        <v>3143.7033492822966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3350.2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67</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19</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28944.939000000002</v>
      </c>
      <c r="C5" s="18">
        <f>IF(ISERROR('Eigen informatie GS &amp; warmtenet'!B58),0,'Eigen informatie GS &amp; warmtenet'!B58)</f>
        <v>0</v>
      </c>
      <c r="D5" s="31">
        <f>SUM(D6:D12)</f>
        <v>27385.460541999997</v>
      </c>
      <c r="E5" s="18">
        <f>SUM(E6:E12)</f>
        <v>339.81394045173511</v>
      </c>
      <c r="F5" s="18">
        <f>SUM(F6:F12)</f>
        <v>6888.0658144264471</v>
      </c>
      <c r="G5" s="19"/>
      <c r="H5" s="18"/>
      <c r="I5" s="18"/>
      <c r="J5" s="18">
        <f>SUM(J6:J12)</f>
        <v>0</v>
      </c>
      <c r="K5" s="18"/>
      <c r="L5" s="18"/>
      <c r="M5" s="18"/>
      <c r="N5" s="18">
        <f>SUM(N6:N12)</f>
        <v>2905.9388194563312</v>
      </c>
      <c r="O5" s="18">
        <f>B38*B39*B40</f>
        <v>0</v>
      </c>
      <c r="P5" s="18">
        <f>B46*B47*B48/1000-B46*B47*B48/1000/B49</f>
        <v>0</v>
      </c>
      <c r="R5" s="33"/>
    </row>
    <row r="6" spans="1:18">
      <c r="A6" s="33" t="s">
        <v>54</v>
      </c>
      <c r="B6" s="38">
        <f>B26</f>
        <v>4450.4629999999997</v>
      </c>
      <c r="C6" s="34"/>
      <c r="D6" s="38">
        <f>IF(ISERROR(TER_kantoor_gas_kWh/1000),0,TER_kantoor_gas_kWh/1000)*0.902</f>
        <v>4637.806184</v>
      </c>
      <c r="E6" s="34">
        <f>$C$26*'E Balans VL '!I12/100/3.6*1000000</f>
        <v>7.3041117843668761</v>
      </c>
      <c r="F6" s="34">
        <f>$C$26*('E Balans VL '!L12+'E Balans VL '!N12)/100/3.6*1000000</f>
        <v>524.60487399204021</v>
      </c>
      <c r="G6" s="35"/>
      <c r="H6" s="34"/>
      <c r="I6" s="34"/>
      <c r="J6" s="34">
        <f>$C$26*('E Balans VL '!D12+'E Balans VL '!E12)/100/3.6*1000000</f>
        <v>0</v>
      </c>
      <c r="K6" s="34"/>
      <c r="L6" s="34"/>
      <c r="M6" s="34"/>
      <c r="N6" s="34">
        <f>$C$26*'E Balans VL '!Y12/100/3.6*1000000</f>
        <v>0.89919497448236696</v>
      </c>
      <c r="O6" s="34"/>
      <c r="P6" s="34"/>
      <c r="R6" s="33"/>
    </row>
    <row r="7" spans="1:18">
      <c r="A7" s="33" t="s">
        <v>53</v>
      </c>
      <c r="B7" s="38">
        <f t="shared" ref="B7:B12" si="0">B27</f>
        <v>4524.0420000000004</v>
      </c>
      <c r="C7" s="34"/>
      <c r="D7" s="38">
        <f>IF(ISERROR(TER_horeca_gas_kWh/1000),0,TER_horeca_gas_kWh/1000)*0.902</f>
        <v>3929.1706299999996</v>
      </c>
      <c r="E7" s="34">
        <f>$C$27*'E Balans VL '!I9/100/3.6*1000000</f>
        <v>234.76504313154939</v>
      </c>
      <c r="F7" s="34">
        <f>$C$27*('E Balans VL '!L9+'E Balans VL '!N9)/100/3.6*1000000</f>
        <v>1032.389667061145</v>
      </c>
      <c r="G7" s="35"/>
      <c r="H7" s="34"/>
      <c r="I7" s="34"/>
      <c r="J7" s="34">
        <f>$C$27*('E Balans VL '!D9+'E Balans VL '!E9)/100/3.6*1000000</f>
        <v>0</v>
      </c>
      <c r="K7" s="34"/>
      <c r="L7" s="34"/>
      <c r="M7" s="34"/>
      <c r="N7" s="34">
        <f>$C$27*'E Balans VL '!Y9/100/3.6*1000000</f>
        <v>0.47773676196730386</v>
      </c>
      <c r="O7" s="34"/>
      <c r="P7" s="34"/>
      <c r="R7" s="33"/>
    </row>
    <row r="8" spans="1:18">
      <c r="A8" s="6" t="s">
        <v>52</v>
      </c>
      <c r="B8" s="38">
        <f t="shared" si="0"/>
        <v>9924.5360000000001</v>
      </c>
      <c r="C8" s="34"/>
      <c r="D8" s="38">
        <f>IF(ISERROR(TER_handel_gas_kWh/1000),0,TER_handel_gas_kWh/1000)*0.902</f>
        <v>5825.1565900000005</v>
      </c>
      <c r="E8" s="34">
        <f>$C$28*'E Balans VL '!I13/100/3.6*1000000</f>
        <v>53.444845923381322</v>
      </c>
      <c r="F8" s="34">
        <f>$C$28*('E Balans VL '!L13+'E Balans VL '!N13)/100/3.6*1000000</f>
        <v>2023.9078210464718</v>
      </c>
      <c r="G8" s="35"/>
      <c r="H8" s="34"/>
      <c r="I8" s="34"/>
      <c r="J8" s="34">
        <f>$C$28*('E Balans VL '!D13+'E Balans VL '!E13)/100/3.6*1000000</f>
        <v>0</v>
      </c>
      <c r="K8" s="34"/>
      <c r="L8" s="34"/>
      <c r="M8" s="34"/>
      <c r="N8" s="34">
        <f>$C$28*'E Balans VL '!Y13/100/3.6*1000000</f>
        <v>49.349476530696023</v>
      </c>
      <c r="O8" s="34"/>
      <c r="P8" s="34"/>
      <c r="R8" s="33"/>
    </row>
    <row r="9" spans="1:18">
      <c r="A9" s="33" t="s">
        <v>51</v>
      </c>
      <c r="B9" s="38">
        <f t="shared" si="0"/>
        <v>2913.6320000000001</v>
      </c>
      <c r="C9" s="34"/>
      <c r="D9" s="38">
        <f>IF(ISERROR(TER_gezond_gas_kWh/1000),0,TER_gezond_gas_kWh/1000)*0.902</f>
        <v>3015.5303199999998</v>
      </c>
      <c r="E9" s="34">
        <f>$C$29*'E Balans VL '!I10/100/3.6*1000000</f>
        <v>2.8874424456859766</v>
      </c>
      <c r="F9" s="34">
        <f>$C$29*('E Balans VL '!L10+'E Balans VL '!N10)/100/3.6*1000000</f>
        <v>1010.9463217795238</v>
      </c>
      <c r="G9" s="35"/>
      <c r="H9" s="34"/>
      <c r="I9" s="34"/>
      <c r="J9" s="34">
        <f>$C$29*('E Balans VL '!D10+'E Balans VL '!E10)/100/3.6*1000000</f>
        <v>0</v>
      </c>
      <c r="K9" s="34"/>
      <c r="L9" s="34"/>
      <c r="M9" s="34"/>
      <c r="N9" s="34">
        <f>$C$29*'E Balans VL '!Y10/100/3.6*1000000</f>
        <v>25.106514537269955</v>
      </c>
      <c r="O9" s="34"/>
      <c r="P9" s="34"/>
      <c r="R9" s="33"/>
    </row>
    <row r="10" spans="1:18">
      <c r="A10" s="33" t="s">
        <v>50</v>
      </c>
      <c r="B10" s="38">
        <f t="shared" si="0"/>
        <v>4893.3540000000003</v>
      </c>
      <c r="C10" s="34"/>
      <c r="D10" s="38">
        <f>IF(ISERROR(TER_ander_gas_kWh/1000),0,TER_ander_gas_kWh/1000)*0.902</f>
        <v>6880.1078280000002</v>
      </c>
      <c r="E10" s="34">
        <f>$C$30*'E Balans VL '!I14/100/3.6*1000000</f>
        <v>40.032526279027962</v>
      </c>
      <c r="F10" s="34">
        <f>$C$30*('E Balans VL '!L14+'E Balans VL '!N14)/100/3.6*1000000</f>
        <v>1430.617492907802</v>
      </c>
      <c r="G10" s="35"/>
      <c r="H10" s="34"/>
      <c r="I10" s="34"/>
      <c r="J10" s="34">
        <f>$C$30*('E Balans VL '!D14+'E Balans VL '!E14)/100/3.6*1000000</f>
        <v>0</v>
      </c>
      <c r="K10" s="34"/>
      <c r="L10" s="34"/>
      <c r="M10" s="34"/>
      <c r="N10" s="34">
        <f>$C$30*'E Balans VL '!Y14/100/3.6*1000000</f>
        <v>2822.8231957045127</v>
      </c>
      <c r="O10" s="34"/>
      <c r="P10" s="34"/>
      <c r="R10" s="33"/>
    </row>
    <row r="11" spans="1:18">
      <c r="A11" s="33" t="s">
        <v>55</v>
      </c>
      <c r="B11" s="38">
        <f t="shared" si="0"/>
        <v>2238.9119999999998</v>
      </c>
      <c r="C11" s="34"/>
      <c r="D11" s="38">
        <f>IF(ISERROR(TER_onderwijs_gas_kWh/1000),0,TER_onderwijs_gas_kWh/1000)*0.902</f>
        <v>3097.6889900000001</v>
      </c>
      <c r="E11" s="34">
        <f>$C$31*'E Balans VL '!I11/100/3.6*1000000</f>
        <v>1.3799708877236581</v>
      </c>
      <c r="F11" s="34">
        <f>$C$31*('E Balans VL '!L11+'E Balans VL '!N11)/100/3.6*1000000</f>
        <v>865.59963763946462</v>
      </c>
      <c r="G11" s="35"/>
      <c r="H11" s="34"/>
      <c r="I11" s="34"/>
      <c r="J11" s="34">
        <f>$C$31*('E Balans VL '!D11+'E Balans VL '!E11)/100/3.6*1000000</f>
        <v>0</v>
      </c>
      <c r="K11" s="34"/>
      <c r="L11" s="34"/>
      <c r="M11" s="34"/>
      <c r="N11" s="34">
        <f>$C$31*'E Balans VL '!Y11/100/3.6*1000000</f>
        <v>7.2827009474025779</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28944.939000000002</v>
      </c>
      <c r="C16" s="22">
        <f t="shared" ca="1" si="1"/>
        <v>0</v>
      </c>
      <c r="D16" s="22">
        <f t="shared" ca="1" si="1"/>
        <v>27385.460541999997</v>
      </c>
      <c r="E16" s="22">
        <f t="shared" si="1"/>
        <v>339.81394045173511</v>
      </c>
      <c r="F16" s="22">
        <f t="shared" ca="1" si="1"/>
        <v>6888.0658144264471</v>
      </c>
      <c r="G16" s="22">
        <f t="shared" si="1"/>
        <v>0</v>
      </c>
      <c r="H16" s="22">
        <f t="shared" si="1"/>
        <v>0</v>
      </c>
      <c r="I16" s="22">
        <f t="shared" si="1"/>
        <v>0</v>
      </c>
      <c r="J16" s="22">
        <f t="shared" si="1"/>
        <v>0</v>
      </c>
      <c r="K16" s="22">
        <f t="shared" si="1"/>
        <v>0</v>
      </c>
      <c r="L16" s="22">
        <f t="shared" ca="1" si="1"/>
        <v>0</v>
      </c>
      <c r="M16" s="22">
        <f t="shared" si="1"/>
        <v>0</v>
      </c>
      <c r="N16" s="22">
        <f t="shared" ca="1" si="1"/>
        <v>2905.9388194563312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0.17624754636467493</v>
      </c>
      <c r="C18" s="26">
        <f ca="1">'EF ele_warmte'!B22</f>
        <v>0.22444444444444447</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5101.474478425188</v>
      </c>
      <c r="C20" s="24">
        <f t="shared" ref="C20:P20" ca="1" si="2">C16*C18</f>
        <v>0</v>
      </c>
      <c r="D20" s="24">
        <f t="shared" ca="1" si="2"/>
        <v>5531.8630294839995</v>
      </c>
      <c r="E20" s="24">
        <f t="shared" si="2"/>
        <v>77.137764482543872</v>
      </c>
      <c r="F20" s="24">
        <f t="shared" ca="1" si="2"/>
        <v>1839.1135724518615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4450.4629999999997</v>
      </c>
      <c r="C26" s="40">
        <f>IF(ISERROR(B26*3.6/1000000/'E Balans VL '!Z12*100),0,B26*3.6/1000000/'E Balans VL '!Z12*100)</f>
        <v>9.4569147184823871E-2</v>
      </c>
      <c r="D26" s="240" t="s">
        <v>707</v>
      </c>
      <c r="F26" s="6"/>
    </row>
    <row r="27" spans="1:18">
      <c r="A27" s="234" t="s">
        <v>53</v>
      </c>
      <c r="B27" s="34">
        <f>IF(ISERROR(TER_horeca_ele_kWh/1000),0,TER_horeca_ele_kWh/1000)</f>
        <v>4524.0420000000004</v>
      </c>
      <c r="C27" s="40">
        <f>IF(ISERROR(B27*3.6/1000000/'E Balans VL '!Z9*100),0,B27*3.6/1000000/'E Balans VL '!Z9*100)</f>
        <v>0.35607708966507118</v>
      </c>
      <c r="D27" s="240" t="s">
        <v>707</v>
      </c>
      <c r="F27" s="6"/>
    </row>
    <row r="28" spans="1:18">
      <c r="A28" s="174" t="s">
        <v>52</v>
      </c>
      <c r="B28" s="34">
        <f>IF(ISERROR(TER_handel_ele_kWh/1000),0,TER_handel_ele_kWh/1000)</f>
        <v>9924.5360000000001</v>
      </c>
      <c r="C28" s="40">
        <f>IF(ISERROR(B28*3.6/1000000/'E Balans VL '!Z13*100),0,B28*3.6/1000000/'E Balans VL '!Z13*100)</f>
        <v>0.27799156476197462</v>
      </c>
      <c r="D28" s="240" t="s">
        <v>707</v>
      </c>
      <c r="F28" s="6"/>
    </row>
    <row r="29" spans="1:18">
      <c r="A29" s="234" t="s">
        <v>51</v>
      </c>
      <c r="B29" s="34">
        <f>IF(ISERROR(TER_gezond_ele_kWh/1000),0,TER_gezond_ele_kWh/1000)</f>
        <v>2913.6320000000001</v>
      </c>
      <c r="C29" s="40">
        <f>IF(ISERROR(B29*3.6/1000000/'E Balans VL '!Z10*100),0,B29*3.6/1000000/'E Balans VL '!Z10*100)</f>
        <v>0.37274163748331751</v>
      </c>
      <c r="D29" s="240" t="s">
        <v>707</v>
      </c>
      <c r="F29" s="6"/>
    </row>
    <row r="30" spans="1:18">
      <c r="A30" s="234" t="s">
        <v>50</v>
      </c>
      <c r="B30" s="34">
        <f>IF(ISERROR(TER_ander_ele_kWh/1000),0,TER_ander_ele_kWh/1000)</f>
        <v>4893.3540000000003</v>
      </c>
      <c r="C30" s="40">
        <f>IF(ISERROR(B30*3.6/1000000/'E Balans VL '!Z14*100),0,B30*3.6/1000000/'E Balans VL '!Z14*100)</f>
        <v>0.36598164707891617</v>
      </c>
      <c r="D30" s="240" t="s">
        <v>707</v>
      </c>
      <c r="F30" s="6"/>
    </row>
    <row r="31" spans="1:18">
      <c r="A31" s="234" t="s">
        <v>55</v>
      </c>
      <c r="B31" s="34">
        <f>IF(ISERROR(TER_onderwijs_ele_kWh/1000),0,TER_onderwijs_ele_kWh/1000)</f>
        <v>2238.9119999999998</v>
      </c>
      <c r="C31" s="40">
        <f>IF(ISERROR(B31*3.6/1000000/'E Balans VL '!Z11*100),0,B31*3.6/1000000/'E Balans VL '!Z11*100)</f>
        <v>0.47274916893233221</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11861.521000000001</v>
      </c>
      <c r="C5" s="18">
        <f>IF(ISERROR('Eigen informatie GS &amp; warmtenet'!B59),0,'Eigen informatie GS &amp; warmtenet'!B59)</f>
        <v>0</v>
      </c>
      <c r="D5" s="31">
        <f>SUM(D6:D15)</f>
        <v>10013.829914</v>
      </c>
      <c r="E5" s="18">
        <f>SUM(E6:E15)</f>
        <v>134.92208199148956</v>
      </c>
      <c r="F5" s="18">
        <f>SUM(F6:F15)</f>
        <v>3439.6919558229038</v>
      </c>
      <c r="G5" s="19"/>
      <c r="H5" s="18"/>
      <c r="I5" s="18"/>
      <c r="J5" s="18">
        <f>SUM(J6:J15)</f>
        <v>59.286385462632204</v>
      </c>
      <c r="K5" s="18"/>
      <c r="L5" s="18"/>
      <c r="M5" s="18"/>
      <c r="N5" s="18">
        <f>SUM(N6:N15)</f>
        <v>319.16239954910361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1504.7760000000001</v>
      </c>
      <c r="C8" s="34"/>
      <c r="D8" s="38">
        <f>IF( ISERROR(IND_metaal_Gas_kWH/1000),0,IND_metaal_Gas_kWH/1000)*0.902</f>
        <v>420.67566199999999</v>
      </c>
      <c r="E8" s="34">
        <f>C30*'E Balans VL '!I18/100/3.6*1000000</f>
        <v>13.703723852774145</v>
      </c>
      <c r="F8" s="34">
        <f>C30*'E Balans VL '!L18/100/3.6*1000000+C30*'E Balans VL '!N18/100/3.6*1000000</f>
        <v>198.46852693478314</v>
      </c>
      <c r="G8" s="35"/>
      <c r="H8" s="34"/>
      <c r="I8" s="34"/>
      <c r="J8" s="41">
        <f>C30*'E Balans VL '!D18/100/3.6*1000000+C30*'E Balans VL '!E18/100/3.6*1000000</f>
        <v>24.676141543922313</v>
      </c>
      <c r="K8" s="34"/>
      <c r="L8" s="34"/>
      <c r="M8" s="34"/>
      <c r="N8" s="34">
        <f>C30*'E Balans VL '!Y18/100/3.6*1000000</f>
        <v>5.1713173412673985</v>
      </c>
      <c r="O8" s="34"/>
      <c r="P8" s="34"/>
      <c r="R8" s="33"/>
    </row>
    <row r="9" spans="1:18">
      <c r="A9" s="6" t="s">
        <v>33</v>
      </c>
      <c r="B9" s="38">
        <f t="shared" si="0"/>
        <v>2142.5120000000002</v>
      </c>
      <c r="C9" s="34"/>
      <c r="D9" s="38">
        <f>IF( ISERROR(IND_andere_gas_kWh/1000),0,IND_andere_gas_kWh/1000)*0.902</f>
        <v>1745.9734380000002</v>
      </c>
      <c r="E9" s="34">
        <f>C31*'E Balans VL '!I19/100/3.6*1000000</f>
        <v>12.384039531936025</v>
      </c>
      <c r="F9" s="34">
        <f>C31*'E Balans VL '!L19/100/3.6*1000000+C31*'E Balans VL '!N19/100/3.6*1000000</f>
        <v>1704.4713895978764</v>
      </c>
      <c r="G9" s="35"/>
      <c r="H9" s="34"/>
      <c r="I9" s="34"/>
      <c r="J9" s="41">
        <f>C31*'E Balans VL '!D19/100/3.6*1000000+C31*'E Balans VL '!E19/100/3.6*1000000</f>
        <v>0.20265783685076366</v>
      </c>
      <c r="K9" s="34"/>
      <c r="L9" s="34"/>
      <c r="M9" s="34"/>
      <c r="N9" s="34">
        <f>C31*'E Balans VL '!Y19/100/3.6*1000000</f>
        <v>162.32770729238388</v>
      </c>
      <c r="O9" s="34"/>
      <c r="P9" s="34"/>
      <c r="R9" s="33"/>
    </row>
    <row r="10" spans="1:18">
      <c r="A10" s="6" t="s">
        <v>41</v>
      </c>
      <c r="B10" s="38">
        <f t="shared" si="0"/>
        <v>817.45100000000002</v>
      </c>
      <c r="C10" s="34"/>
      <c r="D10" s="38">
        <f>IF( ISERROR(IND_voed_gas_kWh/1000),0,IND_voed_gas_kWh/1000)*0.902</f>
        <v>681.10741599999994</v>
      </c>
      <c r="E10" s="34">
        <f>C32*'E Balans VL '!I20/100/3.6*1000000</f>
        <v>8.0376819055083608</v>
      </c>
      <c r="F10" s="34">
        <f>C32*'E Balans VL '!L20/100/3.6*1000000+C32*'E Balans VL '!N20/100/3.6*1000000</f>
        <v>90.788603447210534</v>
      </c>
      <c r="G10" s="35"/>
      <c r="H10" s="34"/>
      <c r="I10" s="34"/>
      <c r="J10" s="41">
        <f>C32*'E Balans VL '!D20/100/3.6*1000000+C32*'E Balans VL '!E20/100/3.6*1000000</f>
        <v>3.2219454914240325E-3</v>
      </c>
      <c r="K10" s="34"/>
      <c r="L10" s="34"/>
      <c r="M10" s="34"/>
      <c r="N10" s="34">
        <f>C32*'E Balans VL '!Y20/100/3.6*1000000</f>
        <v>12.104526462565021</v>
      </c>
      <c r="O10" s="34"/>
      <c r="P10" s="34"/>
      <c r="R10" s="33"/>
    </row>
    <row r="11" spans="1:18">
      <c r="A11" s="6" t="s">
        <v>40</v>
      </c>
      <c r="B11" s="38">
        <f t="shared" si="0"/>
        <v>1308.8019999999999</v>
      </c>
      <c r="C11" s="34"/>
      <c r="D11" s="38">
        <f>IF( ISERROR(IND_textiel_gas_kWh/1000),0,IND_textiel_gas_kWh/1000)*0.902</f>
        <v>0</v>
      </c>
      <c r="E11" s="34">
        <f>C33*'E Balans VL '!I21/100/3.6*1000000</f>
        <v>2.548541406784504</v>
      </c>
      <c r="F11" s="34">
        <f>C33*'E Balans VL '!L21/100/3.6*1000000+C33*'E Balans VL '!N21/100/3.6*1000000</f>
        <v>43.168584798451541</v>
      </c>
      <c r="G11" s="35"/>
      <c r="H11" s="34"/>
      <c r="I11" s="34"/>
      <c r="J11" s="41">
        <f>C33*'E Balans VL '!D21/100/3.6*1000000+C33*'E Balans VL '!E21/100/3.6*1000000</f>
        <v>0</v>
      </c>
      <c r="K11" s="34"/>
      <c r="L11" s="34"/>
      <c r="M11" s="34"/>
      <c r="N11" s="34">
        <f>C33*'E Balans VL '!Y21/100/3.6*1000000</f>
        <v>13.575719121302395</v>
      </c>
      <c r="O11" s="34"/>
      <c r="P11" s="34"/>
      <c r="R11" s="33"/>
    </row>
    <row r="12" spans="1:18">
      <c r="A12" s="6" t="s">
        <v>37</v>
      </c>
      <c r="B12" s="38">
        <f t="shared" si="0"/>
        <v>2577.7750000000001</v>
      </c>
      <c r="C12" s="34"/>
      <c r="D12" s="38">
        <f>IF( ISERROR(IND_min_gas_kWh/1000),0,IND_min_gas_kWh/1000)*0.902</f>
        <v>6735.0635219999995</v>
      </c>
      <c r="E12" s="34">
        <f>C34*'E Balans VL '!I22/100/3.6*1000000</f>
        <v>65.351183387924365</v>
      </c>
      <c r="F12" s="34">
        <f>C34*'E Balans VL '!L22/100/3.6*1000000+C34*'E Balans VL '!N22/100/3.6*1000000</f>
        <v>713.27932756747566</v>
      </c>
      <c r="G12" s="35"/>
      <c r="H12" s="34"/>
      <c r="I12" s="34"/>
      <c r="J12" s="41">
        <f>C34*'E Balans VL '!D22/100/3.6*1000000+C34*'E Balans VL '!E22/100/3.6*1000000</f>
        <v>17.024144106277998</v>
      </c>
      <c r="K12" s="34"/>
      <c r="L12" s="34"/>
      <c r="M12" s="34"/>
      <c r="N12" s="34">
        <f>C34*'E Balans VL '!Y22/100/3.6*1000000</f>
        <v>0</v>
      </c>
      <c r="O12" s="34"/>
      <c r="P12" s="34"/>
      <c r="R12" s="33"/>
    </row>
    <row r="13" spans="1:18">
      <c r="A13" s="6" t="s">
        <v>39</v>
      </c>
      <c r="B13" s="38">
        <f t="shared" si="0"/>
        <v>54.048000000000002</v>
      </c>
      <c r="C13" s="34"/>
      <c r="D13" s="38">
        <f>IF( ISERROR(IND_papier_gas_kWh/1000),0,IND_papier_gas_kWh/1000)*0.902</f>
        <v>0</v>
      </c>
      <c r="E13" s="34">
        <f>C35*'E Balans VL '!I23/100/3.6*1000000</f>
        <v>1.8409532445335368</v>
      </c>
      <c r="F13" s="34">
        <f>C35*'E Balans VL '!L23/100/3.6*1000000+C35*'E Balans VL '!N23/100/3.6*1000000</f>
        <v>8.9274611207447361</v>
      </c>
      <c r="G13" s="35"/>
      <c r="H13" s="34"/>
      <c r="I13" s="34"/>
      <c r="J13" s="41">
        <f>C35*'E Balans VL '!D23/100/3.6*1000000+C35*'E Balans VL '!E23/100/3.6*1000000</f>
        <v>0</v>
      </c>
      <c r="K13" s="34"/>
      <c r="L13" s="34"/>
      <c r="M13" s="34"/>
      <c r="N13" s="34">
        <f>C35*'E Balans VL '!Y23/100/3.6*1000000</f>
        <v>19.888214545001823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3456.1570000000002</v>
      </c>
      <c r="C15" s="34"/>
      <c r="D15" s="38">
        <f>IF( ISERROR(IND_rest_gas_kWh/1000),0,IND_rest_gas_kWh/1000)*0.902</f>
        <v>431.00987600000002</v>
      </c>
      <c r="E15" s="34">
        <f>C37*'E Balans VL '!I15/100/3.6*1000000</f>
        <v>31.055958662028619</v>
      </c>
      <c r="F15" s="34">
        <f>C37*'E Balans VL '!L15/100/3.6*1000000+C37*'E Balans VL '!N15/100/3.6*1000000</f>
        <v>680.58806235636189</v>
      </c>
      <c r="G15" s="35"/>
      <c r="H15" s="34"/>
      <c r="I15" s="34"/>
      <c r="J15" s="41">
        <f>C37*'E Balans VL '!D15/100/3.6*1000000+C37*'E Balans VL '!E15/100/3.6*1000000</f>
        <v>17.380220030089703</v>
      </c>
      <c r="K15" s="34"/>
      <c r="L15" s="34"/>
      <c r="M15" s="34"/>
      <c r="N15" s="34">
        <f>C37*'E Balans VL '!Y15/100/3.6*1000000</f>
        <v>106.09491478658305</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11861.521000000001</v>
      </c>
      <c r="C18" s="22">
        <f>C5+C16</f>
        <v>0</v>
      </c>
      <c r="D18" s="22">
        <f>MAX((D5+D16),0)</f>
        <v>10013.829914</v>
      </c>
      <c r="E18" s="22">
        <f>MAX((E5+E16),0)</f>
        <v>134.92208199148956</v>
      </c>
      <c r="F18" s="22">
        <f>MAX((F5+F16),0)</f>
        <v>3439.6919558229038</v>
      </c>
      <c r="G18" s="22"/>
      <c r="H18" s="22"/>
      <c r="I18" s="22"/>
      <c r="J18" s="22">
        <f>MAX((J5+J16),0)</f>
        <v>59.286385462632204</v>
      </c>
      <c r="K18" s="22"/>
      <c r="L18" s="22">
        <f>MAX((L5+L16),0)</f>
        <v>0</v>
      </c>
      <c r="M18" s="22"/>
      <c r="N18" s="22">
        <f>MAX((N5+N16),0)</f>
        <v>319.16239954910361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0.17624754636467493</v>
      </c>
      <c r="C20" s="26">
        <f ca="1">'EF ele_warmte'!B22</f>
        <v>0.22444444444444447</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2090.5639724030657</v>
      </c>
      <c r="C22" s="24">
        <f ca="1">C18*C20</f>
        <v>0</v>
      </c>
      <c r="D22" s="24">
        <f>D18*D20</f>
        <v>2022.793642628</v>
      </c>
      <c r="E22" s="24">
        <f>E18*E20</f>
        <v>30.627312612068131</v>
      </c>
      <c r="F22" s="24">
        <f>F18*F20</f>
        <v>918.3977522047154</v>
      </c>
      <c r="G22" s="24"/>
      <c r="H22" s="24"/>
      <c r="I22" s="24"/>
      <c r="J22" s="24">
        <f>J18*J20</f>
        <v>20.987380453771799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1504.7760000000001</v>
      </c>
      <c r="C30" s="40">
        <f>IF(ISERROR(B30*3.6/1000000/'E Balans VL '!Z18*100),0,B30*3.6/1000000/'E Balans VL '!Z18*100)</f>
        <v>8.3730722049220357E-2</v>
      </c>
      <c r="D30" s="240" t="s">
        <v>707</v>
      </c>
    </row>
    <row r="31" spans="1:18">
      <c r="A31" s="6" t="s">
        <v>33</v>
      </c>
      <c r="B31" s="38">
        <f>IF( ISERROR(IND_ander_ele_kWh/1000),0,IND_ander_ele_kWh/1000)</f>
        <v>2142.5120000000002</v>
      </c>
      <c r="C31" s="40">
        <f>IF(ISERROR(B31*3.6/1000000/'E Balans VL '!Z19*100),0,B31*3.6/1000000/'E Balans VL '!Z19*100)</f>
        <v>9.9599755994914566E-2</v>
      </c>
      <c r="D31" s="240" t="s">
        <v>707</v>
      </c>
    </row>
    <row r="32" spans="1:18">
      <c r="A32" s="174" t="s">
        <v>41</v>
      </c>
      <c r="B32" s="38">
        <f>IF( ISERROR(IND_voed_ele_kWh/1000),0,IND_voed_ele_kWh/1000)</f>
        <v>817.45100000000002</v>
      </c>
      <c r="C32" s="40">
        <f>IF(ISERROR(B32*3.6/1000000/'E Balans VL '!Z20*100),0,B32*3.6/1000000/'E Balans VL '!Z20*100)</f>
        <v>2.8895241937788647E-2</v>
      </c>
      <c r="D32" s="240" t="s">
        <v>707</v>
      </c>
    </row>
    <row r="33" spans="1:5">
      <c r="A33" s="174" t="s">
        <v>40</v>
      </c>
      <c r="B33" s="38">
        <f>IF( ISERROR(IND_textiel_ele_kWh/1000),0,IND_textiel_ele_kWh/1000)</f>
        <v>1308.8019999999999</v>
      </c>
      <c r="C33" s="40">
        <f>IF(ISERROR(B33*3.6/1000000/'E Balans VL '!Z21*100),0,B33*3.6/1000000/'E Balans VL '!Z21*100)</f>
        <v>0.17677356977859668</v>
      </c>
      <c r="D33" s="240" t="s">
        <v>707</v>
      </c>
    </row>
    <row r="34" spans="1:5">
      <c r="A34" s="174" t="s">
        <v>37</v>
      </c>
      <c r="B34" s="38">
        <f>IF( ISERROR(IND_min_ele_kWh/1000),0,IND_min_ele_kWh/1000)</f>
        <v>2577.7750000000001</v>
      </c>
      <c r="C34" s="40">
        <f>IF(ISERROR(B34*3.6/1000000/'E Balans VL '!Z22*100),0,B34*3.6/1000000/'E Balans VL '!Z22*100)</f>
        <v>0.5180600842007933</v>
      </c>
      <c r="D34" s="240" t="s">
        <v>707</v>
      </c>
    </row>
    <row r="35" spans="1:5">
      <c r="A35" s="174" t="s">
        <v>39</v>
      </c>
      <c r="B35" s="38">
        <f>IF( ISERROR(IND_papier_ele_kWh/1000),0,IND_papier_ele_kWh/1000)</f>
        <v>54.048000000000002</v>
      </c>
      <c r="C35" s="40">
        <f>IF(ISERROR(B35*3.6/1000000/'E Balans VL '!Z22*100),0,B35*3.6/1000000/'E Balans VL '!Z22*100)</f>
        <v>1.0862123897890418E-2</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3456.1570000000002</v>
      </c>
      <c r="C37" s="40">
        <f>IF(ISERROR(B37*3.6/1000000/'E Balans VL '!Z15*100),0,B37*3.6/1000000/'E Balans VL '!Z15*100)</f>
        <v>2.6099090865919428E-2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3937.1419999999998</v>
      </c>
      <c r="C5" s="18">
        <f>'Eigen informatie GS &amp; warmtenet'!B60</f>
        <v>0</v>
      </c>
      <c r="D5" s="31">
        <f>IF(ISERROR(SUM(LB_lb_gas_kWh,LB_rest_gas_kWh)/1000),0,SUM(LB_lb_gas_kWh,LB_rest_gas_kWh)/1000)*0.902</f>
        <v>6868.9509900000003</v>
      </c>
      <c r="E5" s="18">
        <f>B17*'E Balans VL '!I25/3.6*1000000/100</f>
        <v>37.090515611673645</v>
      </c>
      <c r="F5" s="18">
        <f>B17*('E Balans VL '!L25/3.6*1000000+'E Balans VL '!N25/3.6*1000000)/100</f>
        <v>12848.200968677935</v>
      </c>
      <c r="G5" s="19"/>
      <c r="H5" s="18"/>
      <c r="I5" s="18"/>
      <c r="J5" s="18">
        <f>('E Balans VL '!D25+'E Balans VL '!E25)/3.6*1000000*landbouw!B17/100</f>
        <v>487.04361565500949</v>
      </c>
      <c r="K5" s="18"/>
      <c r="L5" s="18">
        <f>L6*(-1)</f>
        <v>0</v>
      </c>
      <c r="M5" s="18"/>
      <c r="N5" s="18">
        <f>N6*(-1)</f>
        <v>0</v>
      </c>
      <c r="O5" s="18"/>
      <c r="P5" s="18"/>
      <c r="R5" s="33"/>
    </row>
    <row r="6" spans="1:18">
      <c r="A6" s="17" t="s">
        <v>502</v>
      </c>
      <c r="B6" s="18" t="s">
        <v>211</v>
      </c>
      <c r="C6" s="18">
        <f>'lokale energieproductie'!O92+'lokale energieproductie'!O61</f>
        <v>5.625</v>
      </c>
      <c r="D6" s="312">
        <f>('lokale energieproductie'!P61+'lokale energieproductie'!P92)*(-1)</f>
        <v>-7.5</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3937.1419999999998</v>
      </c>
      <c r="C8" s="22">
        <f>C5+C6</f>
        <v>5.625</v>
      </c>
      <c r="D8" s="22">
        <f>MAX((D5+D6),0)</f>
        <v>6861.4509900000003</v>
      </c>
      <c r="E8" s="22">
        <f>MAX((E5+E6),0)</f>
        <v>37.090515611673645</v>
      </c>
      <c r="F8" s="22">
        <f>MAX((F5+F6),0)</f>
        <v>12848.200968677935</v>
      </c>
      <c r="G8" s="22"/>
      <c r="H8" s="22"/>
      <c r="I8" s="22"/>
      <c r="J8" s="22">
        <f>MAX((J5+J6),0)</f>
        <v>487.04361565500949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0.17624754636467493</v>
      </c>
      <c r="C10" s="32">
        <f ca="1">'EF ele_warmte'!B22</f>
        <v>0.22444444444444447</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693.91161718930891</v>
      </c>
      <c r="C12" s="24">
        <f ca="1">C8*C10</f>
        <v>1.2625000000000002</v>
      </c>
      <c r="D12" s="24">
        <f>D8*D10</f>
        <v>1386.0130999800001</v>
      </c>
      <c r="E12" s="24">
        <f>E8*E10</f>
        <v>8.4195470438499171</v>
      </c>
      <c r="F12" s="24">
        <f>F8*F10</f>
        <v>3430.4696586370087</v>
      </c>
      <c r="G12" s="24"/>
      <c r="H12" s="24"/>
      <c r="I12" s="24"/>
      <c r="J12" s="24">
        <f>J8*J10</f>
        <v>172.41343994187335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0.53302611328199456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398.09195421936198</v>
      </c>
      <c r="C26" s="250">
        <f>B26*'GWP N2O_CH4'!B5</f>
        <v>8359.9310386066009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170.40876038293882</v>
      </c>
      <c r="C27" s="250">
        <f>B27*'GWP N2O_CH4'!B5</f>
        <v>3578.5839680417153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5.5735364046321978</v>
      </c>
      <c r="C28" s="250">
        <f>B28*'GWP N2O_CH4'!B4</f>
        <v>1727.7962854359814</v>
      </c>
      <c r="D28" s="51"/>
    </row>
    <row r="29" spans="1:4">
      <c r="A29" s="42" t="s">
        <v>277</v>
      </c>
      <c r="B29" s="250">
        <f>B34*'ha_N2O bodem landbouw'!B4</f>
        <v>19.441661110845146</v>
      </c>
      <c r="C29" s="250">
        <f>B29*'GWP N2O_CH4'!B4</f>
        <v>6026.9149443619954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5.2486364712486392E-3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9.306379226123008E-6</v>
      </c>
      <c r="C5" s="447" t="s">
        <v>211</v>
      </c>
      <c r="D5" s="432">
        <f>SUM(D6:D11)</f>
        <v>2.6520878048636932E-5</v>
      </c>
      <c r="E5" s="432">
        <f>SUM(E6:E11)</f>
        <v>1.5300484069608981E-3</v>
      </c>
      <c r="F5" s="445" t="s">
        <v>211</v>
      </c>
      <c r="G5" s="432">
        <f>SUM(G6:G11)</f>
        <v>0.27060451870786223</v>
      </c>
      <c r="H5" s="432">
        <f>SUM(H6:H11)</f>
        <v>5.8761627893919907E-2</v>
      </c>
      <c r="I5" s="447" t="s">
        <v>211</v>
      </c>
      <c r="J5" s="447" t="s">
        <v>211</v>
      </c>
      <c r="K5" s="447" t="s">
        <v>211</v>
      </c>
      <c r="L5" s="447" t="s">
        <v>211</v>
      </c>
      <c r="M5" s="432">
        <f>SUM(M6:M11)</f>
        <v>1.4737998445825606E-2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7.3497995143503905E-6</v>
      </c>
      <c r="C6" s="433"/>
      <c r="D6" s="433">
        <f>vkm_2011_GW_PW*SUMIFS(TableVerdeelsleutelVkm[CNG],TableVerdeelsleutelVkm[Voertuigtype],"Lichte voertuigen")*SUMIFS(TableECFTransport[EnergieConsumptieFactor (PJ per km)],TableECFTransport[Index],CONCATENATE($A6,"_CNG_CNG"))</f>
        <v>1.7948333501918493E-5</v>
      </c>
      <c r="E6" s="435">
        <f>vkm_2011_GW_PW*SUMIFS(TableVerdeelsleutelVkm[LPG],TableVerdeelsleutelVkm[Voertuigtype],"Lichte voertuigen")*SUMIFS(TableECFTransport[EnergieConsumptieFactor (PJ per km)],TableECFTransport[Index],CONCATENATE($A6,"_LPG_LPG"))</f>
        <v>1.0638844555006116E-3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0.15379701302228477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4.0305778606804926E-2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8.6922804713660175E-3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4.7766626657664041E-2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1.9271971592125085E-5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2.1279884387081266E-3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1.9565797117726175E-6</v>
      </c>
      <c r="C8" s="433"/>
      <c r="D8" s="435">
        <f>vkm_2011_NGW_PW*SUMIFS(TableVerdeelsleutelVkm[CNG],TableVerdeelsleutelVkm[Voertuigtype],"Lichte voertuigen")*SUMIFS(TableECFTransport[EnergieConsumptieFactor (PJ per km)],TableECFTransport[Index],CONCATENATE($A8,"_CNG_CNG"))</f>
        <v>8.5725445467184391E-6</v>
      </c>
      <c r="E8" s="435">
        <f>vkm_2011_NGW_PW*SUMIFS(TableVerdeelsleutelVkm[LPG],TableVerdeelsleutelVkm[Voertuigtype],"Lichte voertuigen")*SUMIFS(TableECFTransport[EnergieConsumptieFactor (PJ per km)],TableECFTransport[Index],CONCATENATE($A8,"_LPG_LPG"))</f>
        <v>4.661639514602865E-4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6.3661830822509924E-2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1.8434687700383583E-2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3.6781074375389997E-3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5.3790482054035032E-3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1.8896151392687867E-6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2.3962209821246221E-4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2.5851053405897244</v>
      </c>
      <c r="C14" s="22"/>
      <c r="D14" s="22">
        <f t="shared" ref="D14:M14" si="0">((D5)*10^9/3600)+D12</f>
        <v>7.3669105690658148</v>
      </c>
      <c r="E14" s="22">
        <f t="shared" si="0"/>
        <v>425.01344637802725</v>
      </c>
      <c r="F14" s="22"/>
      <c r="G14" s="22">
        <f t="shared" si="0"/>
        <v>75167.921863295065</v>
      </c>
      <c r="H14" s="22">
        <f t="shared" si="0"/>
        <v>16322.674414977751</v>
      </c>
      <c r="I14" s="22"/>
      <c r="J14" s="22"/>
      <c r="K14" s="22"/>
      <c r="L14" s="22"/>
      <c r="M14" s="22">
        <f t="shared" si="0"/>
        <v>4093.8884571737794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0.17624754636467493</v>
      </c>
      <c r="C16" s="57">
        <f ca="1">'EF ele_warmte'!B22</f>
        <v>0.22444444444444447</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0.45561847337315625</v>
      </c>
      <c r="C18" s="24"/>
      <c r="D18" s="24">
        <f t="shared" ref="D18:M18" si="1">D14*D16</f>
        <v>1.4881159349512947</v>
      </c>
      <c r="E18" s="24">
        <f t="shared" si="1"/>
        <v>96.478052327812193</v>
      </c>
      <c r="F18" s="24"/>
      <c r="G18" s="24">
        <f t="shared" si="1"/>
        <v>20069.835137499784</v>
      </c>
      <c r="H18" s="24">
        <f t="shared" si="1"/>
        <v>4064.34592932946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9.017194310579936E-3</v>
      </c>
      <c r="H50" s="323">
        <f t="shared" si="2"/>
        <v>0</v>
      </c>
      <c r="I50" s="323">
        <f t="shared" si="2"/>
        <v>0</v>
      </c>
      <c r="J50" s="323">
        <f t="shared" si="2"/>
        <v>0</v>
      </c>
      <c r="K50" s="323">
        <f t="shared" si="2"/>
        <v>0</v>
      </c>
      <c r="L50" s="323">
        <f t="shared" si="2"/>
        <v>0</v>
      </c>
      <c r="M50" s="323">
        <f t="shared" si="2"/>
        <v>3.9595987697001482E-4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9.017194310579936E-3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3.9595987697001482E-4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2504.7761973833153</v>
      </c>
      <c r="H54" s="22">
        <f t="shared" si="3"/>
        <v>0</v>
      </c>
      <c r="I54" s="22">
        <f t="shared" si="3"/>
        <v>0</v>
      </c>
      <c r="J54" s="22">
        <f t="shared" si="3"/>
        <v>0</v>
      </c>
      <c r="K54" s="22">
        <f t="shared" si="3"/>
        <v>0</v>
      </c>
      <c r="L54" s="22">
        <f t="shared" si="3"/>
        <v>0</v>
      </c>
      <c r="M54" s="22">
        <f t="shared" si="3"/>
        <v>109.98885471389301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0.17624754636467493</v>
      </c>
      <c r="C56" s="57">
        <f ca="1">'EF ele_warmte'!B22</f>
        <v>0.22444444444444447</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668.77524470134517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9932.805633004109</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8995.4537294106813</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1.125</v>
      </c>
      <c r="C8" s="558">
        <f>B101</f>
        <v>1.25</v>
      </c>
      <c r="D8" s="991"/>
      <c r="E8" s="991">
        <f>E101</f>
        <v>0</v>
      </c>
      <c r="F8" s="992"/>
      <c r="G8" s="559"/>
      <c r="H8" s="991">
        <f>I101</f>
        <v>0</v>
      </c>
      <c r="I8" s="991">
        <f>G101+F101</f>
        <v>0</v>
      </c>
      <c r="J8" s="991">
        <f>H101+D101+C101</f>
        <v>0</v>
      </c>
      <c r="K8" s="991"/>
      <c r="L8" s="991"/>
      <c r="M8" s="991"/>
      <c r="N8" s="560"/>
      <c r="O8" s="561">
        <f>C8*$C$12+D8*$D$12+E8*$E$12+F8*$F$12+G8*$G$12+H8*$H$12+I8*$I$12+J8*$J$12</f>
        <v>0.2525</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18929.384362414792</v>
      </c>
      <c r="C10" s="570">
        <f t="shared" ref="C10:L10" si="0">SUM(C8:C9)</f>
        <v>1.25</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0.2525</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5.625</v>
      </c>
      <c r="C17" s="582">
        <f>B102</f>
        <v>6.25</v>
      </c>
      <c r="D17" s="583"/>
      <c r="E17" s="583">
        <f>E102</f>
        <v>0</v>
      </c>
      <c r="F17" s="584"/>
      <c r="G17" s="585"/>
      <c r="H17" s="582">
        <f>I102</f>
        <v>0</v>
      </c>
      <c r="I17" s="583">
        <f>G102+F102</f>
        <v>0</v>
      </c>
      <c r="J17" s="583">
        <f>H102+D102+C102</f>
        <v>0</v>
      </c>
      <c r="K17" s="583"/>
      <c r="L17" s="583"/>
      <c r="M17" s="583"/>
      <c r="N17" s="998"/>
      <c r="O17" s="586">
        <f>C17*$C$22+E17*$E$22+H17*$H$22+I17*$I$22+J17*$J$22+D17*$D$22+F17*$F$22+G17*$G$22+K17*$K$22+L17*$L$22</f>
        <v>1.2625000000000002</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5.625</v>
      </c>
      <c r="C20" s="569">
        <f>SUM(C17:C19)</f>
        <v>6.25</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1.2625000000000002</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72021</v>
      </c>
      <c r="C28" s="789">
        <v>3680</v>
      </c>
      <c r="D28" s="642" t="s">
        <v>948</v>
      </c>
      <c r="E28" s="641" t="s">
        <v>949</v>
      </c>
      <c r="F28" s="641" t="s">
        <v>950</v>
      </c>
      <c r="G28" s="641" t="s">
        <v>951</v>
      </c>
      <c r="H28" s="641" t="s">
        <v>951</v>
      </c>
      <c r="I28" s="641" t="s">
        <v>949</v>
      </c>
      <c r="J28" s="788">
        <v>40883</v>
      </c>
      <c r="K28" s="788">
        <v>41000</v>
      </c>
      <c r="L28" s="641" t="s">
        <v>952</v>
      </c>
      <c r="M28" s="641">
        <v>1</v>
      </c>
      <c r="N28" s="641">
        <v>1.125</v>
      </c>
      <c r="O28" s="641">
        <v>5.625</v>
      </c>
      <c r="P28" s="641">
        <v>7.5</v>
      </c>
      <c r="Q28" s="641">
        <v>0</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v>
      </c>
      <c r="N58" s="599">
        <f>SUM(N28:N57)</f>
        <v>1.125</v>
      </c>
      <c r="O58" s="599">
        <f t="shared" ref="O58:W58" si="2">SUM(O28:O57)</f>
        <v>5.625</v>
      </c>
      <c r="P58" s="599">
        <f t="shared" si="2"/>
        <v>7.5</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v>
      </c>
      <c r="N61" s="604">
        <f t="shared" si="4"/>
        <v>1.125</v>
      </c>
      <c r="O61" s="604">
        <f t="shared" si="4"/>
        <v>5.625</v>
      </c>
      <c r="P61" s="604">
        <f t="shared" si="4"/>
        <v>7.5</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0.83333333333333337</v>
      </c>
      <c r="C98" s="624">
        <f>IF(ISERROR(N58/(O58+N58)),0,N58/(N58+O58))</f>
        <v>0.16666666666666666</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1.25</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6.25</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2019-08-12T07:56:29Z</dcterms:modified>
</cp:coreProperties>
</file>