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<sst xmlns="http://schemas.openxmlformats.org/spreadsheetml/2006/main" count="2504" uniqueCount="958">
  <si>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</si>
  <si>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</si>
  <si>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</si>
  <si>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</si>
  <si>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</si>
  <si>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</si>
  <si>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</si>
  <si>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</si>
  <si>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</si>
  <si>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</si>
  <si>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</si>
  <si>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</si>
  <si>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</si>
  <si>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</si>
  <si>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</si>
  <si>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</si>
  <si>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</si>
  <si>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</si>
  <si>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</si>
  <si>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</si>
  <si>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</si>
  <si>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</si>
  <si>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</si>
  <si>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</si>
  <si>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</si>
  <si>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</si>
  <si>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</si>
  <si>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</si>
  <si>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</si>
  <si>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</si>
  <si>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</si>
  <si>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</si>
  <si>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</si>
  <si>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</si>
  <si>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</si>
  <si>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</si>
  <si>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</si>
  <si>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</si>
  <si>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</si>
  <si>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</si>
  <si>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</si>
  <si>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</si>
  <si>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</si>
  <si>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</si>
  <si>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</si>
  <si>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</si>
  <si>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</si>
  <si>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</si>
  <si>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</si>
  <si>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</si>
  <si>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</si>
  <si>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</si>
  <si>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</si>
  <si>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</si>
  <si>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</si>
  <si>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</si>
  <si>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</si>
  <si>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</si>
  <si>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</si>
  <si>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</si>
  <si>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</si>
  <si>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</si>
  <si>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</si>
  <si>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</si>
  <si>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</si>
  <si>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</si>
  <si>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</si>
  <si>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</si>
  <si>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</si>
  <si>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</si>
  <si>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</si>
  <si>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</si>
  <si>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</si>
  <si>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</si>
  <si>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</si>
  <si>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</si>
  <si>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</si>
  <si>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</si>
  <si>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</si>
  <si>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</si>
  <si>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</si>
  <si>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</si>
  <si>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</si>
  <si>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</si>
  <si>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</si>
  <si>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</si>
  <si>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</si>
  <si>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</si>
  <si>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</si>
  <si>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</si>
  <si>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</si>
  <si>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</si>
  <si>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</si>
  <si>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</si>
  <si>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</si>
  <si>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</si>
  <si>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</si>
  <si>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</si>
  <si>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</si>
  <si>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</si>
  <si>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</si>
  <si>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</si>
  <si>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</si>
  <si>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</si>
  <si>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</si>
  <si>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</si>
  <si>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</si>
  <si>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</si>
  <si>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</si>
  <si>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</si>
  <si>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</si>
  <si>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</si>
  <si>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</si>
  <si>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</si>
  <si>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</si>
  <si>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</si>
  <si>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</si>
  <si>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</si>
  <si>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</si>
  <si>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</si>
  <si>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</si>
  <si>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</si>
  <si>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</si>
  <si>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</si>
  <si>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</si>
  <si>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</si>
  <si>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</si>
  <si>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</si>
  <si>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</si>
  <si>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</si>
  <si>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</si>
  <si>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</si>
  <si>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</si>
  <si>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</si>
  <si>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</si>
  <si>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</si>
  <si>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</si>
  <si>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</si>
  <si>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</si>
  <si>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</si>
  <si>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</si>
  <si>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</si>
  <si>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</si>
  <si>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</si>
  <si>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</si>
  <si>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</si>
  <si>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</si>
  <si>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</si>
  <si>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</si>
  <si>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</si>
  <si>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</si>
  <si>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</si>
  <si>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</si>
  <si>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</si>
  <si>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</si>
  <si>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</si>
  <si>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</si>
  <si>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</si>
  <si>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</si>
  <si>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</si>
  <si>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</si>
  <si>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</si>
  <si>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</si>
  <si>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</si>
  <si>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</si>
  <si>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</si>
  <si>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</si>
  <si>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</si>
  <si>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</si>
  <si>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</si>
  <si>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</si>
  <si>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</si>
  <si>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</si>
  <si>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</si>
  <si>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</si>
  <si>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</si>
  <si>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</si>
  <si>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</si>
  <si>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</si>
  <si>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</si>
  <si>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</si>
  <si>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</si>
  <si>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</si>
  <si>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</si>
  <si>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</si>
  <si>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</si>
  <si>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</si>
  <si>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</si>
  <si>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</si>
  <si>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</si>
  <si>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</si>
  <si>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</si>
  <si>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</si>
  <si>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</si>
  <si>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</si>
  <si>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</si>
  <si>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</si>
  <si>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</si>
  <si>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</si>
  <si>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</si>
  <si>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</si>
  <si>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</si>
  <si>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</si>
  <si>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</si>
  <si>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</si>
  <si>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</si>
  <si>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</si>
  <si>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</si>
  <si>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</si>
  <si>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</si>
  <si>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</si>
  <si>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</si>
  <si>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</si>
  <si>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</si>
  <si>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</si>
  <si>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</si>
  <si>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</si>
  <si>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</si>
  <si>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</si>
  <si>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</si>
  <si>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</si>
  <si>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</si>
  <si>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</si>
  <si>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</si>
  <si>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</si>
  <si>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</si>
  <si>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</si>
  <si>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</si>
  <si>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</si>
  <si>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</si>
  <si>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</si>
  <si>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</si>
  <si>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</si>
  <si>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</si>
  <si>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</si>
  <si>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</si>
  <si>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</si>
  <si>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</si>
  <si>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</si>
  <si>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</si>
  <si>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</si>
  <si>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</si>
  <si>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</si>
  <si>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</si>
  <si>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</si>
  <si>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</si>
  <si>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</si>
  <si>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</si>
  <si>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</si>
  <si>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</si>
  <si>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</si>
  <si>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</si>
  <si>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</si>
  <si>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</si>
  <si>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</si>
  <si>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</si>
  <si>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</si>
  <si>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</si>
  <si>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</si>
  <si>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</si>
  <si>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</si>
  <si>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</si>
  <si>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</si>
  <si>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</si>
  <si>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</si>
  <si>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</si>
  <si>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</si>
  <si>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</si>
  <si>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</si>
  <si>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</si>
  <si>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</si>
  <si>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</si>
  <si>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</si>
  <si>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</si>
  <si>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</si>
  <si>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</si>
  <si>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</si>
  <si>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</si>
  <si>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</si>
  <si>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</si>
  <si>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</si>
  <si>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</si>
  <si>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</si>
  <si>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</si>
  <si>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</si>
  <si>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</si>
  <si>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</si>
  <si>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</si>
  <si>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</si>
  <si>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</si>
  <si>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</si>
  <si>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</si>
  <si>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</si>
  <si>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</si>
  <si>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</si>
  <si>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</si>
  <si>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</si>
  <si>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</si>
  <si>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</si>
  <si>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</si>
  <si>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</si>
  <si>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</si>
  <si>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</si>
  <si>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</si>
  <si>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</si>
  <si>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</si>
  <si>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</si>
  <si>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</si>
  <si>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</si>
  <si>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</si>
  <si>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</si>
  <si>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</si>
  <si>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</si>
  <si>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</si>
  <si>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</si>
  <si>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</si>
  <si>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</si>
  <si>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</si>
  <si>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</si>
  <si>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</si>
  <si>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</si>
  <si>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</si>
  <si>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</si>
  <si>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</si>
  <si>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</si>
  <si>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</si>
  <si>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</si>
  <si>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</si>
  <si>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</si>
  <si>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</si>
  <si>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</si>
  <si>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</si>
  <si>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</si>
  <si>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</si>
  <si>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</si>
  <si>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</si>
  <si>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</si>
  <si>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</si>
  <si>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</si>
  <si>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</si>
  <si>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</si>
  <si>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</si>
  <si>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</si>
  <si>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</si>
  <si>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</si>
  <si>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</si>
  <si>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</si>
  <si>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</si>
  <si>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</si>
  <si>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</si>
  <si>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</si>
  <si>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</si>
  <si>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</si>
  <si>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</si>
  <si>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</si>
  <si>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</si>
  <si>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</si>
  <si>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</si>
  <si>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</si>
  <si>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</si>
  <si>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</si>
  <si>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</si>
  <si>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</si>
  <si>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</si>
  <si>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</si>
  <si>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</si>
  <si>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</si>
  <si>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</si>
  <si>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</si>
  <si>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</si>
  <si>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</si>
  <si>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</si>
  <si>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</si>
  <si>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</si>
  <si>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</si>
  <si>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</si>
  <si>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</si>
  <si>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</si>
  <si>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</si>
  <si>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</si>
  <si>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</si>
  <si>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</si>
  <si>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</si>
  <si>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</si>
  <si>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</si>
  <si>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</si>
  <si>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</si>
  <si>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</si>
  <si>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</si>
  <si>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</si>
  <si>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</si>
  <si>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</si>
  <si>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</si>
  <si>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</si>
  <si>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</si>
  <si>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</si>
  <si>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</si>
  <si>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</si>
  <si>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</si>
  <si>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</si>
  <si>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</si>
  <si>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</si>
  <si>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</si>
  <si>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</si>
  <si>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</si>
  <si>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</si>
  <si>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</si>
  <si>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</si>
  <si>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</si>
  <si>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</si>
  <si>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</si>
  <si>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</si>
  <si>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</si>
  <si>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</si>
  <si>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</si>
  <si>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</si>
  <si>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</si>
  <si>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</si>
  <si>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</si>
  <si>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</si>
  <si>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</si>
  <si>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</si>
  <si>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</si>
  <si>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</si>
  <si>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</si>
  <si>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</si>
  <si>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</si>
  <si>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</si>
  <si>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</si>
  <si>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</si>
  <si>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</si>
  <si>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</si>
  <si>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</si>
  <si>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</si>
  <si>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</si>
  <si>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</si>
  <si>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</si>
  <si>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</si>
  <si>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</si>
  <si>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</si>
  <si>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</si>
  <si>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</si>
  <si>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</si>
  <si>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</si>
  <si>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</si>
  <si>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</si>
  <si>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</si>
  <si>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</si>
  <si>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</si>
  <si>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</si>
  <si>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</si>
  <si>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</si>
  <si>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</si>
  <si>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</si>
  <si>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</si>
  <si>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</si>
  <si>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</si>
  <si>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</si>
  <si>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</si>
  <si>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</si>
  <si>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</si>
  <si>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</si>
  <si>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</si>
  <si>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</si>
  <si>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</si>
  <si>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</si>
  <si>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</si>
  <si>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</si>
  <si>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</si>
  <si>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</si>
  <si>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</si>
  <si>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</si>
  <si>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</si>
  <si>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</si>
  <si>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</si>
  <si>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</si>
  <si>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</si>
  <si>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</si>
  <si>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</si>
  <si>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</si>
  <si>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</si>
  <si>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</si>
  <si>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</si>
  <si>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</si>
  <si>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</si>
  <si>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</si>
  <si>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</si>
  <si>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</si>
  <si>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</si>
  <si>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</si>
  <si>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</si>
  <si>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</si>
  <si>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</si>
  <si>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</si>
  <si>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</si>
  <si>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</si>
  <si>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</si>
  <si>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</si>
  <si>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</si>
  <si>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</si>
  <si>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</si>
  <si>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</si>
  <si>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</si>
  <si>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</si>
  <si>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</si>
  <si>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</si>
  <si>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</si>
  <si>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</si>
  <si>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</si>
  <si>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</si>
  <si>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</si>
  <si>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</si>
  <si>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</si>
  <si>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</si>
  <si>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</si>
  <si>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</si>
  <si>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</si>
  <si>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</si>
  <si>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</si>
  <si>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</si>
  <si>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</si>
  <si>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</si>
  <si>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</si>
  <si>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</si>
  <si>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</si>
  <si>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</si>
  <si>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</si>
  <si>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</si>
  <si>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</si>
  <si>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</si>
  <si>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</si>
  <si>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</si>
  <si>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</si>
  <si>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</si>
  <si>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</si>
  <si>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</si>
  <si>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</si>
  <si>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</si>
  <si>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</si>
  <si>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</si>
  <si>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</si>
  <si>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</si>
  <si>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</si>
  <si>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</si>
  <si>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</si>
  <si>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</si>
  <si>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</si>
  <si>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</si>
  <si>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</si>
  <si>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</si>
  <si>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</si>
  <si>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</si>
  <si>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</si>
  <si>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</si>
  <si>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</si>
  <si>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</si>
  <si>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</si>
  <si>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</si>
  <si>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</si>
  <si>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</si>
  <si>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</si>
  <si>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</si>
  <si>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</si>
  <si>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</si>
  <si>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</si>
  <si>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</si>
  <si>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</si>
  <si>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</si>
  <si>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</si>
  <si>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</si>
  <si>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</si>
  <si>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</si>
  <si>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</si>
  <si>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</si>
  <si>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</si>
  <si>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</si>
  <si>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</si>
  <si>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</si>
  <si>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</si>
  <si>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</si>
  <si>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</si>
  <si>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</si>
  <si>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</si>
  <si>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</si>
  <si>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</si>
  <si>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</si>
  <si>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</si>
  <si>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</si>
  <si>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</si>
  <si>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</si>
  <si>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</si>
  <si>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</si>
  <si>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</si>
  <si>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</si>
  <si>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</si>
  <si>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</si>
  <si>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</si>
  <si>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</si>
  <si>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</si>
  <si>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</si>
  <si>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</si>
  <si>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</si>
  <si>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</si>
  <si>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</si>
  <si>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</si>
  <si>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</si>
  <si>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</si>
  <si>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</si>
  <si>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</si>
  <si>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</si>
  <si>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</si>
  <si>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</si>
  <si>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</si>
  <si>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</si>
  <si>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</si>
  <si>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</si>
  <si>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</si>
  <si>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</si>
  <si>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</si>
  <si>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</si>
  <si>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</si>
  <si>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</si>
  <si>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</si>
  <si>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</si>
  <si>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</si>
  <si>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</si>
  <si>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</si>
  <si>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</si>
  <si>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</si>
  <si>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</si>
  <si>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</si>
  <si>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</si>
  <si>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</si>
  <si>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</si>
  <si>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</si>
  <si>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</si>
  <si>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</si>
  <si>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</si>
  <si>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</si>
  <si>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</si>
  <si>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</si>
  <si>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</si>
  <si>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</si>
  <si>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</si>
  <si>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</si>
  <si>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</si>
  <si>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</si>
  <si>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</si>
  <si>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</si>
  <si>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</si>
  <si>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</si>
  <si>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</si>
  <si>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</si>
  <si>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</si>
  <si>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</si>
  <si>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</si>
  <si>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</si>
  <si>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</si>
  <si>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</si>
  <si>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</si>
  <si>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</si>
  <si>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</si>
  <si>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</si>
  <si>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</si>
  <si>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</si>
  <si>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</si>
  <si>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</si>
  <si>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</si>
  <si>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</si>
  <si>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</si>
  <si>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</si>
  <si>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</si>
  <si>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</si>
  <si>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</si>
  <si>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</si>
  <si>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</si>
  <si>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</si>
  <si>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</si>
  <si>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</si>
  <si>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</si>
  <si>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</si>
  <si>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</si>
  <si>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</si>
  <si>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</si>
  <si>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</si>
  <si>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</si>
  <si>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</si>
  <si>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</si>
  <si>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</si>
  <si>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</si>
  <si>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</si>
  <si>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</si>
  <si>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</si>
  <si>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</si>
  <si>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</si>
  <si>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</si>
  <si>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</si>
  <si>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</si>
  <si>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</si>
  <si>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</si>
  <si>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</si>
  <si>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</si>
  <si>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</si>
  <si>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</si>
  <si>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</si>
  <si>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</si>
  <si>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</si>
  <si>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</si>
  <si>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</si>
  <si>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</si>
  <si>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</si>
  <si>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</si>
  <si>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</si>
  <si>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</si>
  <si>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</si>
  <si>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</si>
  <si>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</si>
  <si>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</si>
  <si>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</si>
  <si>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</si>
  <si>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</si>
  <si>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</si>
  <si>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</si>
  <si>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</si>
  <si>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</si>
  <si>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</si>
  <si>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</si>
  <si>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</si>
  <si>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</si>
  <si>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</si>
  <si>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</si>
  <si>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</si>
  <si>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</si>
  <si>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</si>
  <si>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</si>
  <si>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</si>
  <si>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</si>
  <si>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</si>
  <si>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</si>
  <si>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</si>
  <si>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</si>
  <si>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</si>
  <si>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</si>
  <si>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</si>
  <si>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</si>
  <si>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</si>
  <si>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</si>
  <si>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</si>
  <si>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</si>
  <si>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</si>
  <si>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</si>
  <si>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</si>
  <si>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</si>
  <si>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</si>
  <si>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</si>
  <si>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</si>
  <si>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</si>
  <si>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</si>
  <si>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</si>
  <si>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</si>
  <si>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</si>
  <si>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</si>
  <si>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</si>
  <si>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</si>
  <si>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</si>
  <si>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</si>
  <si>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</si>
  <si>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</si>
  <si>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</si>
  <si>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</si>
  <si>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</si>
  <si>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</si>
  <si>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</si>
  <si>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</si>
  <si>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</si>
  <si>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</si>
  <si>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</si>
  <si>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</si>
  <si>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</si>
  <si>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</si>
  <si>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</si>
  <si>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</si>
  <si>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</si>
  <si>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</si>
  <si>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</si>
  <si>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</si>
  <si>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</si>
  <si>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</si>
  <si>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</si>
  <si>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</si>
  <si>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</si>
  <si>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</si>
  <si>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</si>
  <si>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</si>
  <si>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</si>
  <si>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</si>
  <si>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</si>
  <si>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</si>
  <si>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</si>
  <si>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</si>
  <si>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</si>
  <si>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</si>
  <si>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</si>
  <si>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</si>
  <si>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</si>
  <si>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</si>
  <si>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</si>
  <si>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</si>
  <si>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</si>
  <si>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</si>
  <si>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</si>
  <si>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</si>
  <si>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</si>
  <si>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</si>
  <si>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</si>
  <si>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</si>
  <si>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</si>
  <si>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</si>
  <si>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</si>
  <si>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</si>
  <si>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</si>
  <si>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</si>
  <si>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</si>
  <si>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</si>
  <si>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</si>
  <si>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</si>
  <si>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</si>
  <si>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</si>
  <si>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</si>
  <si>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</si>
  <si>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</si>
  <si>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</si>
  <si>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</si>
  <si>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</si>
  <si>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</si>
  <si>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</si>
  <si>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</si>
  <si>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</si>
  <si>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</si>
  <si>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</si>
  <si>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</si>
  <si>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</si>
  <si>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</si>
  <si>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</si>
  <si>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</si>
  <si>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</si>
  <si>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</si>
  <si>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</si>
  <si>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</si>
  <si>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</si>
  <si>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</si>
  <si>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</si>
  <si>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</si>
  <si>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</si>
  <si>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</si>
  <si>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</si>
  <si>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</si>
  <si>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</si>
  <si>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</si>
  <si>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</si>
  <si>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</si>
  <si>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</si>
  <si>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</si>
  <si>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</si>
  <si>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</si>
  <si>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</si>
  <si>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</si>
  <si>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</si>
  <si>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</si>
  <si>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</si>
  <si>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</si>
  <si>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</si>
  <si>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</si>
  <si>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</si>
  <si>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</si>
  <si>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</si>
  <si>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</si>
  <si>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</si>
  <si>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</si>
  <si>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</si>
  <si>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</si>
  <si>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</si>
  <si>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</si>
  <si>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</si>
  <si>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</si>
  <si>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</si>
  <si>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</si>
  <si>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</si>
  <si>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</si>
  <si>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</si>
  <si>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</si>
  <si>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</si>
  <si>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</si>
  <si>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</si>
  <si>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</si>
  <si>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</si>
  <si>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</si>
  <si>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</si>
  <si>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</si>
  <si>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</si>
  <si>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</si>
  <si>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</si>
  <si>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</si>
  <si>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</si>
  <si>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</si>
  <si>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</si>
  <si>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</si>
  <si>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</si>
  <si>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</si>
  <si>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</si>
  <si>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</si>
  <si>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</si>
  <si>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</si>
  <si>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</si>
  <si>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</si>
  <si>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</si>
  <si>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</si>
  <si>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</si>
  <si>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</si>
  <si>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</si>
  <si>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</si>
  <si>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</si>
  <si>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</si>
  <si>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</si>
  <si>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</si>
  <si>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</si>
  <si>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</si>
  <si>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</si>
  <si>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</si>
  <si>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</si>
  <si>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</si>
  <si>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</si>
  <si>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</si>
  <si>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</si>
  <si>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</si>
  <si>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</si>
  <si>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</si>
  <si>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</si>
  <si>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</si>
  <si>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</si>
  <si>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</si>
  <si>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</si>
  <si>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72020</t>
  </si>
  <si>
    <t>LOMMEL</t>
  </si>
  <si>
    <t>Paarden&amp;pony's 200 - 600 kg</t>
  </si>
  <si>
    <t>Paarden&amp;pony's &lt; 200 kg</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</si>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</sst>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72020</v>
      </c>
      <c r="B6" s="397"/>
      <c r="C6" s="398"/>
    </row>
    <row r="7" spans="1:7" s="395" customFormat="1" ht="15.75" customHeight="1">
      <c r="A7" s="399" t="str">
        <f>txtMunicipality</f>
        <v>LOMMEL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0.16967950115308228</v>
      </c>
      <c r="C17" s="510">
        <f ca="1">'EF ele_warmte'!B22</f>
        <v>3.2421154000481509E-4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0.16967950115308228</v>
      </c>
      <c r="C29" s="511">
        <f ca="1">'EF ele_warmte'!B22</f>
        <v>3.2421154000481509E-4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13478</v>
      </c>
      <c r="C9" s="338">
        <v>14437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2000</v>
      </c>
    </row>
    <row r="15" spans="1:6">
      <c r="A15" s="1286" t="s">
        <v>184</v>
      </c>
      <c r="B15" s="335">
        <v>9</v>
      </c>
    </row>
    <row r="16" spans="1:6">
      <c r="A16" s="1286" t="s">
        <v>6</v>
      </c>
      <c r="B16" s="335">
        <v>459</v>
      </c>
    </row>
    <row r="17" spans="1:6">
      <c r="A17" s="1286" t="s">
        <v>7</v>
      </c>
      <c r="B17" s="335">
        <v>179</v>
      </c>
    </row>
    <row r="18" spans="1:6">
      <c r="A18" s="1286" t="s">
        <v>8</v>
      </c>
      <c r="B18" s="335">
        <v>432</v>
      </c>
    </row>
    <row r="19" spans="1:6">
      <c r="A19" s="1286" t="s">
        <v>9</v>
      </c>
      <c r="B19" s="335">
        <v>395</v>
      </c>
    </row>
    <row r="20" spans="1:6">
      <c r="A20" s="1286" t="s">
        <v>10</v>
      </c>
      <c r="B20" s="335">
        <v>199</v>
      </c>
    </row>
    <row r="21" spans="1:6">
      <c r="A21" s="1286" t="s">
        <v>11</v>
      </c>
      <c r="B21" s="335">
        <v>3498</v>
      </c>
    </row>
    <row r="22" spans="1:6">
      <c r="A22" s="1286" t="s">
        <v>12</v>
      </c>
      <c r="B22" s="335">
        <v>1822</v>
      </c>
    </row>
    <row r="23" spans="1:6">
      <c r="A23" s="1286" t="s">
        <v>13</v>
      </c>
      <c r="B23" s="335">
        <v>170</v>
      </c>
    </row>
    <row r="24" spans="1:6">
      <c r="A24" s="1286" t="s">
        <v>14</v>
      </c>
      <c r="B24" s="335">
        <v>5</v>
      </c>
    </row>
    <row r="25" spans="1:6">
      <c r="A25" s="1286" t="s">
        <v>15</v>
      </c>
      <c r="B25" s="335">
        <v>635</v>
      </c>
    </row>
    <row r="26" spans="1:6">
      <c r="A26" s="1286" t="s">
        <v>16</v>
      </c>
      <c r="B26" s="335">
        <v>69</v>
      </c>
    </row>
    <row r="27" spans="1:6">
      <c r="A27" s="1286" t="s">
        <v>17</v>
      </c>
      <c r="B27" s="335">
        <v>0</v>
      </c>
    </row>
    <row r="28" spans="1:6" s="341" customFormat="1">
      <c r="A28" s="1287" t="s">
        <v>18</v>
      </c>
      <c r="B28" s="1287">
        <v>49012</v>
      </c>
    </row>
    <row r="29" spans="1:6">
      <c r="A29" s="1287" t="s">
        <v>944</v>
      </c>
      <c r="B29" s="1287">
        <v>224</v>
      </c>
      <c r="C29" s="341"/>
      <c r="D29" s="341"/>
      <c r="E29" s="341"/>
      <c r="F29" s="341"/>
    </row>
    <row r="30" spans="1:6">
      <c r="A30" s="1282" t="s">
        <v>945</v>
      </c>
      <c r="B30" s="1282">
        <v>61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135143</v>
      </c>
    </row>
    <row r="37" spans="1:6">
      <c r="A37" s="1286" t="s">
        <v>25</v>
      </c>
      <c r="B37" s="1286" t="s">
        <v>28</v>
      </c>
      <c r="C37" s="335">
        <v>0</v>
      </c>
      <c r="D37" s="335">
        <v>0</v>
      </c>
      <c r="E37" s="335">
        <v>0</v>
      </c>
      <c r="F37" s="335">
        <v>0</v>
      </c>
    </row>
    <row r="38" spans="1:6">
      <c r="A38" s="1286" t="s">
        <v>25</v>
      </c>
      <c r="B38" s="1286" t="s">
        <v>29</v>
      </c>
      <c r="C38" s="335">
        <v>1</v>
      </c>
      <c r="D38" s="335">
        <v>45930</v>
      </c>
      <c r="E38" s="335">
        <v>2</v>
      </c>
      <c r="F38" s="335">
        <v>70206</v>
      </c>
    </row>
    <row r="39" spans="1:6">
      <c r="A39" s="1286" t="s">
        <v>30</v>
      </c>
      <c r="B39" s="1286" t="s">
        <v>31</v>
      </c>
      <c r="C39" s="335">
        <v>7590</v>
      </c>
      <c r="D39" s="335">
        <v>132808435</v>
      </c>
      <c r="E39" s="335">
        <v>13775</v>
      </c>
      <c r="F39" s="335">
        <v>56958056</v>
      </c>
    </row>
    <row r="40" spans="1:6">
      <c r="A40" s="1286" t="s">
        <v>30</v>
      </c>
      <c r="B40" s="1286" t="s">
        <v>29</v>
      </c>
      <c r="C40" s="335">
        <v>0</v>
      </c>
      <c r="D40" s="335">
        <v>0</v>
      </c>
      <c r="E40" s="335">
        <v>0</v>
      </c>
      <c r="F40" s="335">
        <v>0</v>
      </c>
    </row>
    <row r="41" spans="1:6">
      <c r="A41" s="1286" t="s">
        <v>32</v>
      </c>
      <c r="B41" s="1286" t="s">
        <v>33</v>
      </c>
      <c r="C41" s="335">
        <v>100</v>
      </c>
      <c r="D41" s="335">
        <v>5668899</v>
      </c>
      <c r="E41" s="335">
        <v>209</v>
      </c>
      <c r="F41" s="335">
        <v>19869103</v>
      </c>
    </row>
    <row r="42" spans="1:6">
      <c r="A42" s="1286" t="s">
        <v>32</v>
      </c>
      <c r="B42" s="1286" t="s">
        <v>34</v>
      </c>
      <c r="C42" s="335">
        <v>0</v>
      </c>
      <c r="D42" s="335">
        <v>0</v>
      </c>
      <c r="E42" s="335">
        <v>0</v>
      </c>
      <c r="F42" s="335">
        <v>0</v>
      </c>
    </row>
    <row r="43" spans="1:6">
      <c r="A43" s="1286" t="s">
        <v>32</v>
      </c>
      <c r="B43" s="1286" t="s">
        <v>35</v>
      </c>
      <c r="C43" s="335">
        <v>0</v>
      </c>
      <c r="D43" s="335">
        <v>0</v>
      </c>
      <c r="E43" s="335">
        <v>4</v>
      </c>
      <c r="F43" s="335">
        <v>2094259</v>
      </c>
    </row>
    <row r="44" spans="1:6">
      <c r="A44" s="1286" t="s">
        <v>32</v>
      </c>
      <c r="B44" s="1286" t="s">
        <v>36</v>
      </c>
      <c r="C44" s="335">
        <v>22</v>
      </c>
      <c r="D44" s="335">
        <v>24065194</v>
      </c>
      <c r="E44" s="335">
        <v>52</v>
      </c>
      <c r="F44" s="335">
        <v>42656806</v>
      </c>
    </row>
    <row r="45" spans="1:6">
      <c r="A45" s="1286" t="s">
        <v>32</v>
      </c>
      <c r="B45" s="1286" t="s">
        <v>37</v>
      </c>
      <c r="C45" s="335">
        <v>0</v>
      </c>
      <c r="D45" s="335">
        <v>0</v>
      </c>
      <c r="E45" s="335">
        <v>21</v>
      </c>
      <c r="F45" s="335">
        <v>1559394</v>
      </c>
    </row>
    <row r="46" spans="1:6">
      <c r="A46" s="1286" t="s">
        <v>32</v>
      </c>
      <c r="B46" s="1286" t="s">
        <v>38</v>
      </c>
      <c r="C46" s="335">
        <v>0</v>
      </c>
      <c r="D46" s="335">
        <v>0</v>
      </c>
      <c r="E46" s="335">
        <v>0</v>
      </c>
      <c r="F46" s="335">
        <v>0</v>
      </c>
    </row>
    <row r="47" spans="1:6">
      <c r="A47" s="1286" t="s">
        <v>32</v>
      </c>
      <c r="B47" s="1286" t="s">
        <v>39</v>
      </c>
      <c r="C47" s="335">
        <v>4</v>
      </c>
      <c r="D47" s="335">
        <v>207158</v>
      </c>
      <c r="E47" s="335">
        <v>12</v>
      </c>
      <c r="F47" s="335">
        <v>2062308</v>
      </c>
    </row>
    <row r="48" spans="1:6">
      <c r="A48" s="1286" t="s">
        <v>32</v>
      </c>
      <c r="B48" s="1286" t="s">
        <v>29</v>
      </c>
      <c r="C48" s="335">
        <v>4</v>
      </c>
      <c r="D48" s="335">
        <v>379038</v>
      </c>
      <c r="E48" s="335">
        <v>2</v>
      </c>
      <c r="F48" s="335">
        <v>1287773</v>
      </c>
    </row>
    <row r="49" spans="1:6">
      <c r="A49" s="1286" t="s">
        <v>32</v>
      </c>
      <c r="B49" s="1286" t="s">
        <v>40</v>
      </c>
      <c r="C49" s="335">
        <v>3</v>
      </c>
      <c r="D49" s="335">
        <v>152422</v>
      </c>
      <c r="E49" s="335">
        <v>3</v>
      </c>
      <c r="F49" s="335">
        <v>25199</v>
      </c>
    </row>
    <row r="50" spans="1:6">
      <c r="A50" s="1286" t="s">
        <v>32</v>
      </c>
      <c r="B50" s="1286" t="s">
        <v>41</v>
      </c>
      <c r="C50" s="335">
        <v>12</v>
      </c>
      <c r="D50" s="335">
        <v>235256640</v>
      </c>
      <c r="E50" s="335">
        <v>36</v>
      </c>
      <c r="F50" s="335">
        <v>52073452</v>
      </c>
    </row>
    <row r="51" spans="1:6">
      <c r="A51" s="1286" t="s">
        <v>42</v>
      </c>
      <c r="B51" s="1286" t="s">
        <v>43</v>
      </c>
      <c r="C51" s="335">
        <v>6</v>
      </c>
      <c r="D51" s="335">
        <v>353603</v>
      </c>
      <c r="E51" s="335">
        <v>35</v>
      </c>
      <c r="F51" s="335">
        <v>597923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148</v>
      </c>
      <c r="F54" s="335">
        <v>1997450</v>
      </c>
    </row>
    <row r="55" spans="1:6">
      <c r="A55" s="1286" t="s">
        <v>46</v>
      </c>
      <c r="B55" s="1286" t="s">
        <v>29</v>
      </c>
      <c r="C55" s="335">
        <v>0</v>
      </c>
      <c r="D55" s="335">
        <v>0</v>
      </c>
      <c r="E55" s="335">
        <v>0</v>
      </c>
      <c r="F55" s="335">
        <v>0</v>
      </c>
    </row>
    <row r="56" spans="1:6">
      <c r="A56" s="1286" t="s">
        <v>48</v>
      </c>
      <c r="B56" s="1286" t="s">
        <v>29</v>
      </c>
      <c r="C56" s="335">
        <v>82</v>
      </c>
      <c r="D56" s="335">
        <v>6361921</v>
      </c>
      <c r="E56" s="335">
        <v>182</v>
      </c>
      <c r="F56" s="335">
        <v>1023854</v>
      </c>
    </row>
    <row r="57" spans="1:6">
      <c r="A57" s="1286" t="s">
        <v>49</v>
      </c>
      <c r="B57" s="1286" t="s">
        <v>50</v>
      </c>
      <c r="C57" s="335">
        <v>86</v>
      </c>
      <c r="D57" s="335">
        <v>3424468</v>
      </c>
      <c r="E57" s="335">
        <v>219</v>
      </c>
      <c r="F57" s="335">
        <v>20346845</v>
      </c>
    </row>
    <row r="58" spans="1:6">
      <c r="A58" s="1286" t="s">
        <v>49</v>
      </c>
      <c r="B58" s="1286" t="s">
        <v>51</v>
      </c>
      <c r="C58" s="335">
        <v>43</v>
      </c>
      <c r="D58" s="335">
        <v>2105168</v>
      </c>
      <c r="E58" s="335">
        <v>82</v>
      </c>
      <c r="F58" s="335">
        <v>1440498</v>
      </c>
    </row>
    <row r="59" spans="1:6">
      <c r="A59" s="1286" t="s">
        <v>49</v>
      </c>
      <c r="B59" s="1286" t="s">
        <v>52</v>
      </c>
      <c r="C59" s="335">
        <v>250</v>
      </c>
      <c r="D59" s="335">
        <v>14744221</v>
      </c>
      <c r="E59" s="335">
        <v>445</v>
      </c>
      <c r="F59" s="335">
        <v>18280378</v>
      </c>
    </row>
    <row r="60" spans="1:6">
      <c r="A60" s="1286" t="s">
        <v>49</v>
      </c>
      <c r="B60" s="1286" t="s">
        <v>53</v>
      </c>
      <c r="C60" s="335">
        <v>98</v>
      </c>
      <c r="D60" s="335">
        <v>36182075</v>
      </c>
      <c r="E60" s="335">
        <v>150</v>
      </c>
      <c r="F60" s="335">
        <v>12660951</v>
      </c>
    </row>
    <row r="61" spans="1:6">
      <c r="A61" s="1286" t="s">
        <v>49</v>
      </c>
      <c r="B61" s="1286" t="s">
        <v>54</v>
      </c>
      <c r="C61" s="335">
        <v>203</v>
      </c>
      <c r="D61" s="335">
        <v>17938160</v>
      </c>
      <c r="E61" s="335">
        <v>490</v>
      </c>
      <c r="F61" s="335">
        <v>14364042</v>
      </c>
    </row>
    <row r="62" spans="1:6">
      <c r="A62" s="1286" t="s">
        <v>49</v>
      </c>
      <c r="B62" s="1286" t="s">
        <v>55</v>
      </c>
      <c r="C62" s="335">
        <v>9</v>
      </c>
      <c r="D62" s="335">
        <v>1478710</v>
      </c>
      <c r="E62" s="335">
        <v>28</v>
      </c>
      <c r="F62" s="335">
        <v>1029499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269301</v>
      </c>
      <c r="E68" s="335">
        <v>10</v>
      </c>
      <c r="F68" s="335">
        <v>148710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147484438</v>
      </c>
      <c r="E73" s="335">
        <v>151100723.50256094</v>
      </c>
    </row>
    <row r="74" spans="1:6">
      <c r="A74" s="1286" t="s">
        <v>64</v>
      </c>
      <c r="B74" s="1286" t="s">
        <v>772</v>
      </c>
      <c r="C74" s="1297" t="s">
        <v>766</v>
      </c>
      <c r="D74" s="335">
        <v>8237203.3497759392</v>
      </c>
      <c r="E74" s="335">
        <v>8639634.204606317</v>
      </c>
    </row>
    <row r="75" spans="1:6">
      <c r="A75" s="1286" t="s">
        <v>65</v>
      </c>
      <c r="B75" s="1286" t="s">
        <v>771</v>
      </c>
      <c r="C75" s="1297" t="s">
        <v>767</v>
      </c>
      <c r="D75" s="335">
        <v>40073291</v>
      </c>
      <c r="E75" s="335">
        <v>40781387.648284256</v>
      </c>
    </row>
    <row r="76" spans="1:6">
      <c r="A76" s="1286" t="s">
        <v>65</v>
      </c>
      <c r="B76" s="1286" t="s">
        <v>772</v>
      </c>
      <c r="C76" s="1297" t="s">
        <v>768</v>
      </c>
      <c r="D76" s="335">
        <v>491588.3497759396</v>
      </c>
      <c r="E76" s="335">
        <v>562457.37054342416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674171.3004481208</v>
      </c>
      <c r="C83" s="335">
        <v>637539.76573127322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26487.481688010961</v>
      </c>
    </row>
    <row r="91" spans="1:6">
      <c r="A91" s="1286" t="s">
        <v>68</v>
      </c>
      <c r="B91" s="335">
        <v>9136.9947634778564</v>
      </c>
    </row>
    <row r="92" spans="1:6">
      <c r="A92" s="1282" t="s">
        <v>69</v>
      </c>
      <c r="B92" s="338">
        <v>10726.941575255465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3255</v>
      </c>
    </row>
    <row r="98" spans="1:6">
      <c r="A98" s="1286" t="s">
        <v>72</v>
      </c>
      <c r="B98" s="335">
        <v>3</v>
      </c>
    </row>
    <row r="99" spans="1:6">
      <c r="A99" s="1286" t="s">
        <v>73</v>
      </c>
      <c r="B99" s="335">
        <v>121</v>
      </c>
    </row>
    <row r="100" spans="1:6">
      <c r="A100" s="1286" t="s">
        <v>74</v>
      </c>
      <c r="B100" s="335">
        <v>517</v>
      </c>
    </row>
    <row r="101" spans="1:6">
      <c r="A101" s="1286" t="s">
        <v>75</v>
      </c>
      <c r="B101" s="335">
        <v>132</v>
      </c>
    </row>
    <row r="102" spans="1:6">
      <c r="A102" s="1286" t="s">
        <v>76</v>
      </c>
      <c r="B102" s="335">
        <v>111</v>
      </c>
    </row>
    <row r="103" spans="1:6">
      <c r="A103" s="1286" t="s">
        <v>77</v>
      </c>
      <c r="B103" s="335">
        <v>171</v>
      </c>
    </row>
    <row r="104" spans="1:6">
      <c r="A104" s="1286" t="s">
        <v>78</v>
      </c>
      <c r="B104" s="335">
        <v>7050</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18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128</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277610.48098347295</v>
      </c>
      <c r="C3" s="44" t="s">
        <v>170</v>
      </c>
      <c r="D3" s="44"/>
      <c r="E3" s="157"/>
      <c r="F3" s="44"/>
      <c r="G3" s="44"/>
      <c r="H3" s="44"/>
      <c r="I3" s="44"/>
      <c r="J3" s="44"/>
      <c r="K3" s="97"/>
    </row>
    <row r="4" spans="1:11">
      <c r="A4" s="365" t="s">
        <v>171</v>
      </c>
      <c r="B4" s="50">
        <f>IF(ISERROR('SEAP template'!B78+'SEAP template'!C78),0,'SEAP template'!B78+'SEAP template'!C78)</f>
        <v>64493.168026744286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5.8817647058823548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0.16967950115308228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8.4025210084033635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25916.785714285714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3.2421154000481509E-4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1997.45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1997.45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0.16967950115308228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338.9263195782242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56958.055999999997</v>
      </c>
      <c r="C5" s="18">
        <f>IF(ISERROR('Eigen informatie GS &amp; warmtenet'!B57),0,'Eigen informatie GS &amp; warmtenet'!B57)</f>
        <v>0</v>
      </c>
      <c r="D5" s="31">
        <f>(SUM(HH_hh_gas_kWh,HH_rest_gas_kWh)/1000)*0.902</f>
        <v>119793.20837000001</v>
      </c>
      <c r="E5" s="18">
        <f>B46*B57</f>
        <v>9365.3253495032404</v>
      </c>
      <c r="F5" s="18">
        <f>B51*B62</f>
        <v>62151.025685922352</v>
      </c>
      <c r="G5" s="19"/>
      <c r="H5" s="18"/>
      <c r="I5" s="18"/>
      <c r="J5" s="18">
        <f>B50*B61+C50*C61</f>
        <v>0</v>
      </c>
      <c r="K5" s="18"/>
      <c r="L5" s="18"/>
      <c r="M5" s="18"/>
      <c r="N5" s="18">
        <f>B48*B59+C48*C59</f>
        <v>33179.227070934365</v>
      </c>
      <c r="O5" s="18">
        <f>B69*B70*B71</f>
        <v>229.81</v>
      </c>
      <c r="P5" s="18">
        <f>B77*B78*B79/1000-B77*B78*B79/1000/B80</f>
        <v>667.33333333333337</v>
      </c>
    </row>
    <row r="6" spans="1:16">
      <c r="A6" s="17" t="s">
        <v>639</v>
      </c>
      <c r="B6" s="780">
        <f>kWh_PV_kleiner_dan_10kW</f>
        <v>9136.9947634778564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66095.050763477848</v>
      </c>
      <c r="C8" s="22">
        <f>C5</f>
        <v>0</v>
      </c>
      <c r="D8" s="22">
        <f>D5</f>
        <v>119793.20837000001</v>
      </c>
      <c r="E8" s="22">
        <f>E5</f>
        <v>9365.3253495032404</v>
      </c>
      <c r="F8" s="22">
        <f>F5</f>
        <v>62151.025685922352</v>
      </c>
      <c r="G8" s="22"/>
      <c r="H8" s="22"/>
      <c r="I8" s="22"/>
      <c r="J8" s="22">
        <f>J5</f>
        <v>0</v>
      </c>
      <c r="K8" s="22"/>
      <c r="L8" s="22">
        <f>L5</f>
        <v>0</v>
      </c>
      <c r="M8" s="22">
        <f>M5</f>
        <v>0</v>
      </c>
      <c r="N8" s="22">
        <f>N5</f>
        <v>33179.227070934365</v>
      </c>
      <c r="O8" s="22">
        <f>O5</f>
        <v>229.81</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0.16967950115308228</v>
      </c>
      <c r="C10" s="26">
        <f ca="1">'EF ele_warmte'!B22</f>
        <v>3.2421154000481509E-4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11214.975242234572</v>
      </c>
      <c r="C12" s="24">
        <f ca="1">C10*C8</f>
        <v>0</v>
      </c>
      <c r="D12" s="24">
        <f>D8*D10</f>
        <v>24198.228090740002</v>
      </c>
      <c r="E12" s="24">
        <f>E10*E8</f>
        <v>2125.9288543372359</v>
      </c>
      <c r="F12" s="24">
        <f>F10*F8</f>
        <v>16594.32385814127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3255</v>
      </c>
      <c r="C18" s="169" t="s">
        <v>111</v>
      </c>
      <c r="D18" s="231"/>
      <c r="E18" s="16"/>
    </row>
    <row r="19" spans="1:7">
      <c r="A19" s="174" t="s">
        <v>72</v>
      </c>
      <c r="B19" s="38">
        <f>aantalw2001_ander</f>
        <v>3</v>
      </c>
      <c r="C19" s="169" t="s">
        <v>111</v>
      </c>
      <c r="D19" s="232"/>
      <c r="E19" s="16"/>
    </row>
    <row r="20" spans="1:7">
      <c r="A20" s="174" t="s">
        <v>73</v>
      </c>
      <c r="B20" s="38">
        <f>aantalw2001_propaan</f>
        <v>121</v>
      </c>
      <c r="C20" s="170">
        <f>IF(ISERROR(B20/SUM($B$20,$B$21,$B$22)*100),0,B20/SUM($B$20,$B$21,$B$22)*100)</f>
        <v>15.714285714285714</v>
      </c>
      <c r="D20" s="232"/>
      <c r="E20" s="16"/>
    </row>
    <row r="21" spans="1:7">
      <c r="A21" s="174" t="s">
        <v>74</v>
      </c>
      <c r="B21" s="38">
        <f>aantalw2001_elektriciteit</f>
        <v>517</v>
      </c>
      <c r="C21" s="170">
        <f>IF(ISERROR(B21/SUM($B$20,$B$21,$B$22)*100),0,B21/SUM($B$20,$B$21,$B$22)*100)</f>
        <v>67.142857142857139</v>
      </c>
      <c r="D21" s="232"/>
      <c r="E21" s="16"/>
    </row>
    <row r="22" spans="1:7">
      <c r="A22" s="174" t="s">
        <v>75</v>
      </c>
      <c r="B22" s="38">
        <f>aantalw2001_hout</f>
        <v>132</v>
      </c>
      <c r="C22" s="170">
        <f>IF(ISERROR(B22/SUM($B$20,$B$21,$B$22)*100),0,B22/SUM($B$20,$B$21,$B$22)*100)</f>
        <v>17.142857142857142</v>
      </c>
      <c r="D22" s="232"/>
      <c r="E22" s="16"/>
    </row>
    <row r="23" spans="1:7">
      <c r="A23" s="174" t="s">
        <v>76</v>
      </c>
      <c r="B23" s="38">
        <f>aantalw2001_niet_gespec</f>
        <v>111</v>
      </c>
      <c r="C23" s="169" t="s">
        <v>111</v>
      </c>
      <c r="D23" s="231"/>
      <c r="E23" s="16"/>
    </row>
    <row r="24" spans="1:7">
      <c r="A24" s="174" t="s">
        <v>77</v>
      </c>
      <c r="B24" s="38">
        <f>aantalw2001_steenkool</f>
        <v>171</v>
      </c>
      <c r="C24" s="169" t="s">
        <v>111</v>
      </c>
      <c r="D24" s="232"/>
      <c r="E24" s="16"/>
    </row>
    <row r="25" spans="1:7">
      <c r="A25" s="174" t="s">
        <v>78</v>
      </c>
      <c r="B25" s="38">
        <f>aantalw2001_stookolie</f>
        <v>7050</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13478</v>
      </c>
      <c r="C28" s="37"/>
      <c r="D28" s="231"/>
    </row>
    <row r="29" spans="1:7" s="16" customFormat="1">
      <c r="A29" s="233" t="s">
        <v>666</v>
      </c>
      <c r="B29" s="38">
        <f>SUM(HH_hh_gas_aantal,HH_rest_gas_aantal)</f>
        <v>7590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7590</v>
      </c>
      <c r="C32" s="170">
        <f>IF(ISERROR(B32/SUM($B$32,$B$34,$B$35,$B$36,$B$38,$B$39)*100),0,B32/SUM($B$32,$B$34,$B$35,$B$36,$B$38,$B$39)*100)</f>
        <v>56.460611470653873</v>
      </c>
      <c r="D32" s="236"/>
      <c r="G32" s="16"/>
    </row>
    <row r="33" spans="1:7">
      <c r="A33" s="174" t="s">
        <v>72</v>
      </c>
      <c r="B33" s="35" t="s">
        <v>111</v>
      </c>
      <c r="C33" s="170"/>
      <c r="D33" s="236"/>
      <c r="G33" s="16"/>
    </row>
    <row r="34" spans="1:7">
      <c r="A34" s="174" t="s">
        <v>73</v>
      </c>
      <c r="B34" s="34">
        <f>IF((($B$28-$B$32-$B$39-$B$77-$B$38)*C20/100)&lt;0,0,($B$28-$B$32-$B$39-$B$77-$B$38)*C20/100)</f>
        <v>424.99285714285708</v>
      </c>
      <c r="C34" s="170">
        <f>IF(ISERROR(B34/SUM($B$32,$B$34,$B$35,$B$36,$B$38,$B$39)*100),0,B34/SUM($B$32,$B$34,$B$35,$B$36,$B$38,$B$39)*100)</f>
        <v>3.161443555328848</v>
      </c>
      <c r="D34" s="236"/>
      <c r="G34" s="16"/>
    </row>
    <row r="35" spans="1:7">
      <c r="A35" s="174" t="s">
        <v>74</v>
      </c>
      <c r="B35" s="34">
        <f>IF((($B$28-$B$32-$B$39-$B$77-$B$38)*C21/100)&lt;0,0,($B$28-$B$32-$B$39-$B$77-$B$38)*C21/100)</f>
        <v>1815.8785714285714</v>
      </c>
      <c r="C35" s="170">
        <f>IF(ISERROR(B35/SUM($B$32,$B$34,$B$35,$B$36,$B$38,$B$39)*100),0,B35/SUM($B$32,$B$34,$B$35,$B$36,$B$38,$B$39)*100)</f>
        <v>13.507986100041444</v>
      </c>
      <c r="D35" s="236"/>
      <c r="G35" s="16"/>
    </row>
    <row r="36" spans="1:7">
      <c r="A36" s="174" t="s">
        <v>75</v>
      </c>
      <c r="B36" s="34">
        <f>IF((($B$28-$B$32-$B$39-$B$77-$B$38)*C22/100)&lt;0,0,($B$28-$B$32-$B$39-$B$77-$B$38)*C22/100)</f>
        <v>463.62857142857143</v>
      </c>
      <c r="C36" s="170">
        <f>IF(ISERROR(B36/SUM($B$32,$B$34,$B$35,$B$36,$B$38,$B$39)*100),0,B36/SUM($B$32,$B$34,$B$35,$B$36,$B$38,$B$39)*100)</f>
        <v>3.4488475149041986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3148.5</v>
      </c>
      <c r="C39" s="170">
        <f>IF(ISERROR(B39/SUM($B$32,$B$34,$B$35,$B$36,$B$38,$B$39)*100),0,B39/SUM($B$32,$B$34,$B$35,$B$36,$B$38,$B$39)*100)</f>
        <v>23.421111359071638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7590</v>
      </c>
      <c r="C44" s="35" t="s">
        <v>111</v>
      </c>
      <c r="D44" s="177"/>
    </row>
    <row r="45" spans="1:7">
      <c r="A45" s="174" t="s">
        <v>72</v>
      </c>
      <c r="B45" s="34" t="str">
        <f t="shared" si="0"/>
        <v>-</v>
      </c>
      <c r="C45" s="35" t="s">
        <v>111</v>
      </c>
      <c r="D45" s="177"/>
    </row>
    <row r="46" spans="1:7">
      <c r="A46" s="174" t="s">
        <v>73</v>
      </c>
      <c r="B46" s="34">
        <f t="shared" si="0"/>
        <v>424.99285714285708</v>
      </c>
      <c r="C46" s="35" t="s">
        <v>111</v>
      </c>
      <c r="D46" s="177"/>
    </row>
    <row r="47" spans="1:7">
      <c r="A47" s="174" t="s">
        <v>74</v>
      </c>
      <c r="B47" s="34">
        <f t="shared" si="0"/>
        <v>1815.8785714285714</v>
      </c>
      <c r="C47" s="35" t="s">
        <v>111</v>
      </c>
      <c r="D47" s="177"/>
    </row>
    <row r="48" spans="1:7">
      <c r="A48" s="174" t="s">
        <v>75</v>
      </c>
      <c r="B48" s="34">
        <f t="shared" si="0"/>
        <v>463.62857142857143</v>
      </c>
      <c r="C48" s="34">
        <f>B48*10</f>
        <v>4636.2857142857147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3148.5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68122.213000000003</v>
      </c>
      <c r="C5" s="18">
        <f>IF(ISERROR('Eigen informatie GS &amp; warmtenet'!B58),0,'Eigen informatie GS &amp; warmtenet'!B58)</f>
        <v>0</v>
      </c>
      <c r="D5" s="31">
        <f>SUM(D6:D12)</f>
        <v>68437.267403999984</v>
      </c>
      <c r="E5" s="18">
        <f>SUM(E6:E12)</f>
        <v>947.54774332168654</v>
      </c>
      <c r="F5" s="18">
        <f>SUM(F6:F12)</f>
        <v>15156.754502048876</v>
      </c>
      <c r="G5" s="19"/>
      <c r="H5" s="18"/>
      <c r="I5" s="18"/>
      <c r="J5" s="18">
        <f>SUM(J6:J12)</f>
        <v>0</v>
      </c>
      <c r="K5" s="18"/>
      <c r="L5" s="18"/>
      <c r="M5" s="18"/>
      <c r="N5" s="18">
        <f>SUM(N6:N12)</f>
        <v>11848.359062958098</v>
      </c>
      <c r="O5" s="18">
        <f>B38*B39*B40</f>
        <v>0</v>
      </c>
      <c r="P5" s="18">
        <f>B46*B47*B48/1000-B46*B47*B48/1000/B49</f>
        <v>0</v>
      </c>
      <c r="R5" s="33"/>
    </row>
    <row r="6" spans="1:18">
      <c r="A6" s="33" t="s">
        <v>54</v>
      </c>
      <c r="B6" s="38">
        <f>B26</f>
        <v>14364.041999999999</v>
      </c>
      <c r="C6" s="34"/>
      <c r="D6" s="38">
        <f>IF(ISERROR(TER_kantoor_gas_kWh/1000),0,TER_kantoor_gas_kWh/1000)*0.902</f>
        <v>16180.22032</v>
      </c>
      <c r="E6" s="34">
        <f>$C$26*'E Balans VL '!I12/100/3.6*1000000</f>
        <v>23.574304166407128</v>
      </c>
      <c r="F6" s="34">
        <f>$C$26*('E Balans VL '!L12+'E Balans VL '!N12)/100/3.6*1000000</f>
        <v>1693.1825842449141</v>
      </c>
      <c r="G6" s="35"/>
      <c r="H6" s="34"/>
      <c r="I6" s="34"/>
      <c r="J6" s="34">
        <f>$C$26*('E Balans VL '!D12+'E Balans VL '!E12)/100/3.6*1000000</f>
        <v>0</v>
      </c>
      <c r="K6" s="34"/>
      <c r="L6" s="34"/>
      <c r="M6" s="34"/>
      <c r="N6" s="34">
        <f>$C$26*'E Balans VL '!Y12/100/3.6*1000000</f>
        <v>2.9021866667925664</v>
      </c>
      <c r="O6" s="34"/>
      <c r="P6" s="34"/>
      <c r="R6" s="33"/>
    </row>
    <row r="7" spans="1:18">
      <c r="A7" s="33" t="s">
        <v>53</v>
      </c>
      <c r="B7" s="38">
        <f t="shared" ref="B7:B12" si="0">B27</f>
        <v>12660.950999999999</v>
      </c>
      <c r="C7" s="34"/>
      <c r="D7" s="38">
        <f>IF(ISERROR(TER_horeca_gas_kWh/1000),0,TER_horeca_gas_kWh/1000)*0.902</f>
        <v>32636.231649999998</v>
      </c>
      <c r="E7" s="34">
        <f>$C$27*'E Balans VL '!I9/100/3.6*1000000</f>
        <v>657.01174029804167</v>
      </c>
      <c r="F7" s="34">
        <f>$C$27*('E Balans VL '!L9+'E Balans VL '!N9)/100/3.6*1000000</f>
        <v>2889.2382050315769</v>
      </c>
      <c r="G7" s="35"/>
      <c r="H7" s="34"/>
      <c r="I7" s="34"/>
      <c r="J7" s="34">
        <f>$C$27*('E Balans VL '!D9+'E Balans VL '!E9)/100/3.6*1000000</f>
        <v>0</v>
      </c>
      <c r="K7" s="34"/>
      <c r="L7" s="34"/>
      <c r="M7" s="34"/>
      <c r="N7" s="34">
        <f>$C$27*'E Balans VL '!Y9/100/3.6*1000000</f>
        <v>1.336990623466072</v>
      </c>
      <c r="O7" s="34"/>
      <c r="P7" s="34"/>
      <c r="R7" s="33"/>
    </row>
    <row r="8" spans="1:18">
      <c r="A8" s="6" t="s">
        <v>52</v>
      </c>
      <c r="B8" s="38">
        <f t="shared" si="0"/>
        <v>18280.378000000001</v>
      </c>
      <c r="C8" s="34"/>
      <c r="D8" s="38">
        <f>IF(ISERROR(TER_handel_gas_kWh/1000),0,TER_handel_gas_kWh/1000)*0.902</f>
        <v>13299.287342</v>
      </c>
      <c r="E8" s="34">
        <f>$C$28*'E Balans VL '!I13/100/3.6*1000000</f>
        <v>98.442081889890829</v>
      </c>
      <c r="F8" s="34">
        <f>$C$28*('E Balans VL '!L13+'E Balans VL '!N13)/100/3.6*1000000</f>
        <v>3727.9123181059404</v>
      </c>
      <c r="G8" s="35"/>
      <c r="H8" s="34"/>
      <c r="I8" s="34"/>
      <c r="J8" s="34">
        <f>$C$28*('E Balans VL '!D13+'E Balans VL '!E13)/100/3.6*1000000</f>
        <v>0</v>
      </c>
      <c r="K8" s="34"/>
      <c r="L8" s="34"/>
      <c r="M8" s="34"/>
      <c r="N8" s="34">
        <f>$C$28*'E Balans VL '!Y13/100/3.6*1000000</f>
        <v>90.898666202959191</v>
      </c>
      <c r="O8" s="34"/>
      <c r="P8" s="34"/>
      <c r="R8" s="33"/>
    </row>
    <row r="9" spans="1:18">
      <c r="A9" s="33" t="s">
        <v>51</v>
      </c>
      <c r="B9" s="38">
        <f t="shared" si="0"/>
        <v>1440.498</v>
      </c>
      <c r="C9" s="34"/>
      <c r="D9" s="38">
        <f>IF(ISERROR(TER_gezond_gas_kWh/1000),0,TER_gezond_gas_kWh/1000)*0.902</f>
        <v>1898.8615360000001</v>
      </c>
      <c r="E9" s="34">
        <f>$C$29*'E Balans VL '!I10/100/3.6*1000000</f>
        <v>1.4275498992754603</v>
      </c>
      <c r="F9" s="34">
        <f>$C$29*('E Balans VL '!L10+'E Balans VL '!N10)/100/3.6*1000000</f>
        <v>499.8112852380674</v>
      </c>
      <c r="G9" s="35"/>
      <c r="H9" s="34"/>
      <c r="I9" s="34"/>
      <c r="J9" s="34">
        <f>$C$29*('E Balans VL '!D10+'E Balans VL '!E10)/100/3.6*1000000</f>
        <v>0</v>
      </c>
      <c r="K9" s="34"/>
      <c r="L9" s="34"/>
      <c r="M9" s="34"/>
      <c r="N9" s="34">
        <f>$C$29*'E Balans VL '!Y10/100/3.6*1000000</f>
        <v>12.412646476256542</v>
      </c>
      <c r="O9" s="34"/>
      <c r="P9" s="34"/>
      <c r="R9" s="33"/>
    </row>
    <row r="10" spans="1:18">
      <c r="A10" s="33" t="s">
        <v>50</v>
      </c>
      <c r="B10" s="38">
        <f t="shared" si="0"/>
        <v>20346.845000000001</v>
      </c>
      <c r="C10" s="34"/>
      <c r="D10" s="38">
        <f>IF(ISERROR(TER_ander_gas_kWh/1000),0,TER_ander_gas_kWh/1000)*0.902</f>
        <v>3088.870136</v>
      </c>
      <c r="E10" s="34">
        <f>$C$30*'E Balans VL '!I14/100/3.6*1000000</f>
        <v>166.45752732334688</v>
      </c>
      <c r="F10" s="34">
        <f>$C$30*('E Balans VL '!L14+'E Balans VL '!N14)/100/3.6*1000000</f>
        <v>5948.5891236325124</v>
      </c>
      <c r="G10" s="35"/>
      <c r="H10" s="34"/>
      <c r="I10" s="34"/>
      <c r="J10" s="34">
        <f>$C$30*('E Balans VL '!D14+'E Balans VL '!E14)/100/3.6*1000000</f>
        <v>0</v>
      </c>
      <c r="K10" s="34"/>
      <c r="L10" s="34"/>
      <c r="M10" s="34"/>
      <c r="N10" s="34">
        <f>$C$30*'E Balans VL '!Y14/100/3.6*1000000</f>
        <v>11737.459833358547</v>
      </c>
      <c r="O10" s="34"/>
      <c r="P10" s="34"/>
      <c r="R10" s="33"/>
    </row>
    <row r="11" spans="1:18">
      <c r="A11" s="33" t="s">
        <v>55</v>
      </c>
      <c r="B11" s="38">
        <f t="shared" si="0"/>
        <v>1029.499</v>
      </c>
      <c r="C11" s="34"/>
      <c r="D11" s="38">
        <f>IF(ISERROR(TER_onderwijs_gas_kWh/1000),0,TER_onderwijs_gas_kWh/1000)*0.902</f>
        <v>1333.7964200000001</v>
      </c>
      <c r="E11" s="34">
        <f>$C$31*'E Balans VL '!I11/100/3.6*1000000</f>
        <v>0.63453974472449948</v>
      </c>
      <c r="F11" s="34">
        <f>$C$31*('E Balans VL '!L11+'E Balans VL '!N11)/100/3.6*1000000</f>
        <v>398.02098579586493</v>
      </c>
      <c r="G11" s="35"/>
      <c r="H11" s="34"/>
      <c r="I11" s="34"/>
      <c r="J11" s="34">
        <f>$C$31*('E Balans VL '!D11+'E Balans VL '!E11)/100/3.6*1000000</f>
        <v>0</v>
      </c>
      <c r="K11" s="34"/>
      <c r="L11" s="34"/>
      <c r="M11" s="34"/>
      <c r="N11" s="34">
        <f>$C$31*'E Balans VL '!Y11/100/3.6*1000000</f>
        <v>3.3487396300747898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18141.75</v>
      </c>
      <c r="C13" s="250">
        <f ca="1">'lokale energieproductie'!O91+'lokale energieproductie'!O60</f>
        <v>25916.785714285714</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-51762.857142857145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86263.963000000003</v>
      </c>
      <c r="C16" s="22">
        <f t="shared" ca="1" si="1"/>
        <v>25916.785714285714</v>
      </c>
      <c r="D16" s="22">
        <f t="shared" ca="1" si="1"/>
        <v>68366.553118285694</v>
      </c>
      <c r="E16" s="22">
        <f t="shared" si="1"/>
        <v>947.54774332168654</v>
      </c>
      <c r="F16" s="22">
        <f t="shared" ca="1" si="1"/>
        <v>15156.754502048876</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0.16967950115308228</v>
      </c>
      <c r="C18" s="26">
        <f ca="1">'EF ele_warmte'!B22</f>
        <v>3.2421154000481509E-4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14637.226209327948</v>
      </c>
      <c r="C20" s="24">
        <f t="shared" ref="C20:P20" ca="1" si="2">C16*C18</f>
        <v>8.4025210084033635</v>
      </c>
      <c r="D20" s="24">
        <f t="shared" ca="1" si="2"/>
        <v>13810.04372989371</v>
      </c>
      <c r="E20" s="24">
        <f t="shared" si="2"/>
        <v>215.09333773402284</v>
      </c>
      <c r="F20" s="24">
        <f t="shared" ca="1" si="2"/>
        <v>4046.8534520470503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14364.041999999999</v>
      </c>
      <c r="C26" s="40">
        <f>IF(ISERROR(B26*3.6/1000000/'E Balans VL '!Z12*100),0,B26*3.6/1000000/'E Balans VL '!Z12*100)</f>
        <v>0.3052255915995688</v>
      </c>
      <c r="D26" s="240" t="s">
        <v>707</v>
      </c>
      <c r="F26" s="6"/>
    </row>
    <row r="27" spans="1:18">
      <c r="A27" s="234" t="s">
        <v>53</v>
      </c>
      <c r="B27" s="34">
        <f>IF(ISERROR(TER_horeca_ele_kWh/1000),0,TER_horeca_ele_kWh/1000)</f>
        <v>12660.950999999999</v>
      </c>
      <c r="C27" s="40">
        <f>IF(ISERROR(B27*3.6/1000000/'E Balans VL '!Z9*100),0,B27*3.6/1000000/'E Balans VL '!Z9*100)</f>
        <v>0.99651475040949489</v>
      </c>
      <c r="D27" s="240" t="s">
        <v>707</v>
      </c>
      <c r="F27" s="6"/>
    </row>
    <row r="28" spans="1:18">
      <c r="A28" s="174" t="s">
        <v>52</v>
      </c>
      <c r="B28" s="34">
        <f>IF(ISERROR(TER_handel_ele_kWh/1000),0,TER_handel_ele_kWh/1000)</f>
        <v>18280.378000000001</v>
      </c>
      <c r="C28" s="40">
        <f>IF(ISERROR(B28*3.6/1000000/'E Balans VL '!Z13*100),0,B28*3.6/1000000/'E Balans VL '!Z13*100)</f>
        <v>0.51204317105206487</v>
      </c>
      <c r="D28" s="240" t="s">
        <v>707</v>
      </c>
      <c r="F28" s="6"/>
    </row>
    <row r="29" spans="1:18">
      <c r="A29" s="234" t="s">
        <v>51</v>
      </c>
      <c r="B29" s="34">
        <f>IF(ISERROR(TER_gezond_ele_kWh/1000),0,TER_gezond_ele_kWh/1000)</f>
        <v>1440.498</v>
      </c>
      <c r="C29" s="40">
        <f>IF(ISERROR(B29*3.6/1000000/'E Balans VL '!Z10*100),0,B29*3.6/1000000/'E Balans VL '!Z10*100)</f>
        <v>0.1842832531052116</v>
      </c>
      <c r="D29" s="240" t="s">
        <v>707</v>
      </c>
      <c r="F29" s="6"/>
    </row>
    <row r="30" spans="1:18">
      <c r="A30" s="234" t="s">
        <v>50</v>
      </c>
      <c r="B30" s="34">
        <f>IF(ISERROR(TER_ander_ele_kWh/1000),0,TER_ander_ele_kWh/1000)</f>
        <v>20346.845000000001</v>
      </c>
      <c r="C30" s="40">
        <f>IF(ISERROR(B30*3.6/1000000/'E Balans VL '!Z14*100),0,B30*3.6/1000000/'E Balans VL '!Z14*100)</f>
        <v>1.5217725604890655</v>
      </c>
      <c r="D30" s="240" t="s">
        <v>707</v>
      </c>
      <c r="F30" s="6"/>
    </row>
    <row r="31" spans="1:18">
      <c r="A31" s="234" t="s">
        <v>55</v>
      </c>
      <c r="B31" s="34">
        <f>IF(ISERROR(TER_onderwijs_ele_kWh/1000),0,TER_onderwijs_ele_kWh/1000)</f>
        <v>1029.499</v>
      </c>
      <c r="C31" s="40">
        <f>IF(ISERROR(B31*3.6/1000000/'E Balans VL '!Z11*100),0,B31*3.6/1000000/'E Balans VL '!Z11*100)</f>
        <v>0.21738004739206684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121628.29399999999</v>
      </c>
      <c r="C5" s="18">
        <f>IF(ISERROR('Eigen informatie GS &amp; warmtenet'!B59),0,'Eigen informatie GS &amp; warmtenet'!B59)</f>
        <v>0</v>
      </c>
      <c r="D5" s="31">
        <f>SUM(D6:D15)</f>
        <v>239687.87460200003</v>
      </c>
      <c r="E5" s="18">
        <f>SUM(E6:E15)</f>
        <v>1136.7317066382245</v>
      </c>
      <c r="F5" s="18">
        <f>SUM(F6:F15)</f>
        <v>28242.927456979014</v>
      </c>
      <c r="G5" s="19"/>
      <c r="H5" s="18"/>
      <c r="I5" s="18"/>
      <c r="J5" s="18">
        <f>SUM(J6:J15)</f>
        <v>718.36879059221963</v>
      </c>
      <c r="K5" s="18"/>
      <c r="L5" s="18"/>
      <c r="M5" s="18"/>
      <c r="N5" s="18">
        <f>SUM(N6:N15)</f>
        <v>3221.7317243952675</v>
      </c>
      <c r="O5" s="18">
        <f>B43*B44*B45</f>
        <v>0</v>
      </c>
      <c r="P5" s="18">
        <f>B51*B52*B53/1000-B51*B52*B53/1000/B54</f>
        <v>0</v>
      </c>
      <c r="R5" s="33"/>
    </row>
    <row r="6" spans="1:18">
      <c r="A6" s="6" t="s">
        <v>35</v>
      </c>
      <c r="B6" s="38">
        <f>IF( ISERROR(IND_ijzer_ele_kWh/1000),0,IND_ijzer_ele_kWh/1000)</f>
        <v>2094.259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42656.805999999997</v>
      </c>
      <c r="C8" s="34"/>
      <c r="D8" s="38">
        <f>IF( ISERROR(IND_metaal_Gas_kWH/1000),0,IND_metaal_Gas_kWH/1000)*0.902</f>
        <v>21706.804988</v>
      </c>
      <c r="E8" s="34">
        <f>C30*'E Balans VL '!I18/100/3.6*1000000</f>
        <v>388.46784495855815</v>
      </c>
      <c r="F8" s="34">
        <f>C30*'E Balans VL '!L18/100/3.6*1000000+C30*'E Balans VL '!N18/100/3.6*1000000</f>
        <v>5626.1087700513681</v>
      </c>
      <c r="G8" s="35"/>
      <c r="H8" s="34"/>
      <c r="I8" s="34"/>
      <c r="J8" s="41">
        <f>C30*'E Balans VL '!D18/100/3.6*1000000+C30*'E Balans VL '!E18/100/3.6*1000000</f>
        <v>699.50968294791699</v>
      </c>
      <c r="K8" s="34"/>
      <c r="L8" s="34"/>
      <c r="M8" s="34"/>
      <c r="N8" s="34">
        <f>C30*'E Balans VL '!Y18/100/3.6*1000000</f>
        <v>146.59449684928467</v>
      </c>
      <c r="O8" s="34"/>
      <c r="P8" s="34"/>
      <c r="R8" s="33"/>
    </row>
    <row r="9" spans="1:18">
      <c r="A9" s="6" t="s">
        <v>33</v>
      </c>
      <c r="B9" s="38">
        <f t="shared" si="0"/>
        <v>19869.102999999999</v>
      </c>
      <c r="C9" s="34"/>
      <c r="D9" s="38">
        <f>IF( ISERROR(IND_andere_gas_kWh/1000),0,IND_andere_gas_kWh/1000)*0.902</f>
        <v>5113.3468980000007</v>
      </c>
      <c r="E9" s="34">
        <f>C31*'E Balans VL '!I19/100/3.6*1000000</f>
        <v>114.84638453185264</v>
      </c>
      <c r="F9" s="34">
        <f>C31*'E Balans VL '!L19/100/3.6*1000000+C31*'E Balans VL '!N19/100/3.6*1000000</f>
        <v>15806.82749990354</v>
      </c>
      <c r="G9" s="35"/>
      <c r="H9" s="34"/>
      <c r="I9" s="34"/>
      <c r="J9" s="41">
        <f>C31*'E Balans VL '!D19/100/3.6*1000000+C31*'E Balans VL '!E19/100/3.6*1000000</f>
        <v>1.8793964440549307</v>
      </c>
      <c r="K9" s="34"/>
      <c r="L9" s="34"/>
      <c r="M9" s="34"/>
      <c r="N9" s="34">
        <f>C31*'E Balans VL '!Y19/100/3.6*1000000</f>
        <v>1505.3852374904905</v>
      </c>
      <c r="O9" s="34"/>
      <c r="P9" s="34"/>
      <c r="R9" s="33"/>
    </row>
    <row r="10" spans="1:18">
      <c r="A10" s="6" t="s">
        <v>41</v>
      </c>
      <c r="B10" s="38">
        <f t="shared" si="0"/>
        <v>52073.451999999997</v>
      </c>
      <c r="C10" s="34"/>
      <c r="D10" s="38">
        <f>IF( ISERROR(IND_voed_gas_kWh/1000),0,IND_voed_gas_kWh/1000)*0.902</f>
        <v>212201.48928000001</v>
      </c>
      <c r="E10" s="34">
        <f>C32*'E Balans VL '!I20/100/3.6*1000000</f>
        <v>512.01826518991118</v>
      </c>
      <c r="F10" s="34">
        <f>C32*'E Balans VL '!L20/100/3.6*1000000+C32*'E Balans VL '!N20/100/3.6*1000000</f>
        <v>5783.4365408511985</v>
      </c>
      <c r="G10" s="35"/>
      <c r="H10" s="34"/>
      <c r="I10" s="34"/>
      <c r="J10" s="41">
        <f>C32*'E Balans VL '!D20/100/3.6*1000000+C32*'E Balans VL '!E20/100/3.6*1000000</f>
        <v>0.20524511425673928</v>
      </c>
      <c r="K10" s="34"/>
      <c r="L10" s="34"/>
      <c r="M10" s="34"/>
      <c r="N10" s="34">
        <f>C32*'E Balans VL '!Y20/100/3.6*1000000</f>
        <v>771.08533444953832</v>
      </c>
      <c r="O10" s="34"/>
      <c r="P10" s="34"/>
      <c r="R10" s="33"/>
    </row>
    <row r="11" spans="1:18">
      <c r="A11" s="6" t="s">
        <v>40</v>
      </c>
      <c r="B11" s="38">
        <f t="shared" si="0"/>
        <v>25.199000000000002</v>
      </c>
      <c r="C11" s="34"/>
      <c r="D11" s="38">
        <f>IF( ISERROR(IND_textiel_gas_kWh/1000),0,IND_textiel_gas_kWh/1000)*0.902</f>
        <v>137.484644</v>
      </c>
      <c r="E11" s="34">
        <f>C33*'E Balans VL '!I21/100/3.6*1000000</f>
        <v>4.9068304380313232E-2</v>
      </c>
      <c r="F11" s="34">
        <f>C33*'E Balans VL '!L21/100/3.6*1000000+C33*'E Balans VL '!N21/100/3.6*1000000</f>
        <v>0.83114571060877074</v>
      </c>
      <c r="G11" s="35"/>
      <c r="H11" s="34"/>
      <c r="I11" s="34"/>
      <c r="J11" s="41">
        <f>C33*'E Balans VL '!D21/100/3.6*1000000+C33*'E Balans VL '!E21/100/3.6*1000000</f>
        <v>0</v>
      </c>
      <c r="K11" s="34"/>
      <c r="L11" s="34"/>
      <c r="M11" s="34"/>
      <c r="N11" s="34">
        <f>C33*'E Balans VL '!Y21/100/3.6*1000000</f>
        <v>0.26137990783762488</v>
      </c>
      <c r="O11" s="34"/>
      <c r="P11" s="34"/>
      <c r="R11" s="33"/>
    </row>
    <row r="12" spans="1:18">
      <c r="A12" s="6" t="s">
        <v>37</v>
      </c>
      <c r="B12" s="38">
        <f t="shared" si="0"/>
        <v>1559.394</v>
      </c>
      <c r="C12" s="34"/>
      <c r="D12" s="38">
        <f>IF( ISERROR(IND_min_gas_kWh/1000),0,IND_min_gas_kWh/1000)*0.902</f>
        <v>0</v>
      </c>
      <c r="E12" s="34">
        <f>C34*'E Balans VL '!I22/100/3.6*1000000</f>
        <v>39.533412833947466</v>
      </c>
      <c r="F12" s="34">
        <f>C34*'E Balans VL '!L22/100/3.6*1000000+C34*'E Balans VL '!N22/100/3.6*1000000</f>
        <v>431.48975520856391</v>
      </c>
      <c r="G12" s="35"/>
      <c r="H12" s="34"/>
      <c r="I12" s="34"/>
      <c r="J12" s="41">
        <f>C34*'E Balans VL '!D22/100/3.6*1000000+C34*'E Balans VL '!E22/100/3.6*1000000</f>
        <v>10.298551337671158</v>
      </c>
      <c r="K12" s="34"/>
      <c r="L12" s="34"/>
      <c r="M12" s="34"/>
      <c r="N12" s="34">
        <f>C34*'E Balans VL '!Y22/100/3.6*1000000</f>
        <v>0</v>
      </c>
      <c r="O12" s="34"/>
      <c r="P12" s="34"/>
      <c r="R12" s="33"/>
    </row>
    <row r="13" spans="1:18">
      <c r="A13" s="6" t="s">
        <v>39</v>
      </c>
      <c r="B13" s="38">
        <f t="shared" si="0"/>
        <v>2062.308</v>
      </c>
      <c r="C13" s="34"/>
      <c r="D13" s="38">
        <f>IF( ISERROR(IND_papier_gas_kWh/1000),0,IND_papier_gas_kWh/1000)*0.902</f>
        <v>186.856516</v>
      </c>
      <c r="E13" s="34">
        <f>C35*'E Balans VL '!I23/100/3.6*1000000</f>
        <v>70.245200633279097</v>
      </c>
      <c r="F13" s="34">
        <f>C35*'E Balans VL '!L23/100/3.6*1000000+C35*'E Balans VL '!N23/100/3.6*1000000</f>
        <v>340.64488027310608</v>
      </c>
      <c r="G13" s="35"/>
      <c r="H13" s="34"/>
      <c r="I13" s="34"/>
      <c r="J13" s="41">
        <f>C35*'E Balans VL '!D23/100/3.6*1000000+C35*'E Balans VL '!E23/100/3.6*1000000</f>
        <v>0</v>
      </c>
      <c r="K13" s="34"/>
      <c r="L13" s="34"/>
      <c r="M13" s="34"/>
      <c r="N13" s="34">
        <f>C35*'E Balans VL '!Y23/100/3.6*1000000</f>
        <v>758.87403718682708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1287.7729999999999</v>
      </c>
      <c r="C15" s="34"/>
      <c r="D15" s="38">
        <f>IF( ISERROR(IND_rest_gas_kWh/1000),0,IND_rest_gas_kWh/1000)*0.902</f>
        <v>341.89227600000004</v>
      </c>
      <c r="E15" s="34">
        <f>C37*'E Balans VL '!I15/100/3.6*1000000</f>
        <v>11.571530186295522</v>
      </c>
      <c r="F15" s="34">
        <f>C37*'E Balans VL '!L15/100/3.6*1000000+C37*'E Balans VL '!N15/100/3.6*1000000</f>
        <v>253.58886498062418</v>
      </c>
      <c r="G15" s="35"/>
      <c r="H15" s="34"/>
      <c r="I15" s="34"/>
      <c r="J15" s="41">
        <f>C37*'E Balans VL '!D15/100/3.6*1000000+C37*'E Balans VL '!E15/100/3.6*1000000</f>
        <v>6.4759147483197967</v>
      </c>
      <c r="K15" s="34"/>
      <c r="L15" s="34"/>
      <c r="M15" s="34"/>
      <c r="N15" s="34">
        <f>C37*'E Balans VL '!Y15/100/3.6*1000000</f>
        <v>39.531238511289388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121628.29399999999</v>
      </c>
      <c r="C18" s="22">
        <f>C5+C16</f>
        <v>0</v>
      </c>
      <c r="D18" s="22">
        <f>MAX((D5+D16),0)</f>
        <v>239687.87460200003</v>
      </c>
      <c r="E18" s="22">
        <f>MAX((E5+E16),0)</f>
        <v>1136.7317066382245</v>
      </c>
      <c r="F18" s="22">
        <f>MAX((F5+F16),0)</f>
        <v>28242.927456979014</v>
      </c>
      <c r="G18" s="22"/>
      <c r="H18" s="22"/>
      <c r="I18" s="22"/>
      <c r="J18" s="22">
        <f>MAX((J5+J16),0)</f>
        <v>718.36879059221963</v>
      </c>
      <c r="K18" s="22"/>
      <c r="L18" s="22">
        <f>MAX((L5+L16),0)</f>
        <v>0</v>
      </c>
      <c r="M18" s="22"/>
      <c r="N18" s="22">
        <f>MAX((N5+N16),0)</f>
        <v>3221.7317243952675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0.16967950115308228</v>
      </c>
      <c r="C20" s="26">
        <f ca="1">'EF ele_warmte'!B22</f>
        <v>3.2421154000481509E-4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20637.82825202043</v>
      </c>
      <c r="C22" s="24">
        <f ca="1">C18*C20</f>
        <v>0</v>
      </c>
      <c r="D22" s="24">
        <f>D18*D20</f>
        <v>48416.950669604012</v>
      </c>
      <c r="E22" s="24">
        <f>E18*E20</f>
        <v>258.038097406877</v>
      </c>
      <c r="F22" s="24">
        <f>F18*F20</f>
        <v>7540.8616310133975</v>
      </c>
      <c r="G22" s="24"/>
      <c r="H22" s="24"/>
      <c r="I22" s="24"/>
      <c r="J22" s="24">
        <f>J18*J20</f>
        <v>254.30255186964573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42656.805999999997</v>
      </c>
      <c r="C30" s="40">
        <f>IF(ISERROR(B30*3.6/1000000/'E Balans VL '!Z18*100),0,B30*3.6/1000000/'E Balans VL '!Z18*100)</f>
        <v>2.373566010285594</v>
      </c>
      <c r="D30" s="240" t="s">
        <v>707</v>
      </c>
    </row>
    <row r="31" spans="1:18">
      <c r="A31" s="6" t="s">
        <v>33</v>
      </c>
      <c r="B31" s="38">
        <f>IF( ISERROR(IND_ander_ele_kWh/1000),0,IND_ander_ele_kWh/1000)</f>
        <v>19869.102999999999</v>
      </c>
      <c r="C31" s="40">
        <f>IF(ISERROR(B31*3.6/1000000/'E Balans VL '!Z19*100),0,B31*3.6/1000000/'E Balans VL '!Z19*100)</f>
        <v>0.92366241619081935</v>
      </c>
      <c r="D31" s="240" t="s">
        <v>707</v>
      </c>
    </row>
    <row r="32" spans="1:18">
      <c r="A32" s="174" t="s">
        <v>41</v>
      </c>
      <c r="B32" s="38">
        <f>IF( ISERROR(IND_voed_ele_kWh/1000),0,IND_voed_ele_kWh/1000)</f>
        <v>52073.451999999997</v>
      </c>
      <c r="C32" s="40">
        <f>IF(ISERROR(B32*3.6/1000000/'E Balans VL '!Z20*100),0,B32*3.6/1000000/'E Balans VL '!Z20*100)</f>
        <v>1.8406913614098266</v>
      </c>
      <c r="D32" s="240" t="s">
        <v>707</v>
      </c>
    </row>
    <row r="33" spans="1:5">
      <c r="A33" s="174" t="s">
        <v>40</v>
      </c>
      <c r="B33" s="38">
        <f>IF( ISERROR(IND_textiel_ele_kWh/1000),0,IND_textiel_ele_kWh/1000)</f>
        <v>25.199000000000002</v>
      </c>
      <c r="C33" s="40">
        <f>IF(ISERROR(B33*3.6/1000000/'E Balans VL '!Z21*100),0,B33*3.6/1000000/'E Balans VL '!Z21*100)</f>
        <v>3.4035073180288984E-3</v>
      </c>
      <c r="D33" s="240" t="s">
        <v>707</v>
      </c>
    </row>
    <row r="34" spans="1:5">
      <c r="A34" s="174" t="s">
        <v>37</v>
      </c>
      <c r="B34" s="38">
        <f>IF( ISERROR(IND_min_ele_kWh/1000),0,IND_min_ele_kWh/1000)</f>
        <v>1559.394</v>
      </c>
      <c r="C34" s="40">
        <f>IF(ISERROR(B34*3.6/1000000/'E Balans VL '!Z22*100),0,B34*3.6/1000000/'E Balans VL '!Z22*100)</f>
        <v>0.3133942205748026</v>
      </c>
      <c r="D34" s="240" t="s">
        <v>707</v>
      </c>
    </row>
    <row r="35" spans="1:5">
      <c r="A35" s="174" t="s">
        <v>39</v>
      </c>
      <c r="B35" s="38">
        <f>IF( ISERROR(IND_papier_ele_kWh/1000),0,IND_papier_ele_kWh/1000)</f>
        <v>2062.308</v>
      </c>
      <c r="C35" s="40">
        <f>IF(ISERROR(B35*3.6/1000000/'E Balans VL '!Z22*100),0,B35*3.6/1000000/'E Balans VL '!Z22*100)</f>
        <v>0.41446575287911841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1287.7729999999999</v>
      </c>
      <c r="C37" s="40">
        <f>IF(ISERROR(B37*3.6/1000000/'E Balans VL '!Z15*100),0,B37*3.6/1000000/'E Balans VL '!Z15*100)</f>
        <v>9.7245884783815247E-3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597.923</v>
      </c>
      <c r="C5" s="18">
        <f>'Eigen informatie GS &amp; warmtenet'!B60</f>
        <v>0</v>
      </c>
      <c r="D5" s="31">
        <f>IF(ISERROR(SUM(LB_lb_gas_kWh,LB_rest_gas_kWh)/1000),0,SUM(LB_lb_gas_kWh,LB_rest_gas_kWh)/1000)*0.902</f>
        <v>318.949906</v>
      </c>
      <c r="E5" s="18">
        <f>B17*'E Balans VL '!I25/3.6*1000000/100</f>
        <v>5.6328352815516283</v>
      </c>
      <c r="F5" s="18">
        <f>B17*('E Balans VL '!L25/3.6*1000000+'E Balans VL '!N25/3.6*1000000)/100</f>
        <v>1951.2211822166478</v>
      </c>
      <c r="G5" s="19"/>
      <c r="H5" s="18"/>
      <c r="I5" s="18"/>
      <c r="J5" s="18">
        <f>('E Balans VL '!D25+'E Balans VL '!E25)/3.6*1000000*landbouw!B17/100</f>
        <v>73.965983396913344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597.923</v>
      </c>
      <c r="C8" s="22">
        <f>C5+C6</f>
        <v>0</v>
      </c>
      <c r="D8" s="22">
        <f>MAX((D5+D6),0)</f>
        <v>318.949906</v>
      </c>
      <c r="E8" s="22">
        <f>MAX((E5+E6),0)</f>
        <v>5.6328352815516283</v>
      </c>
      <c r="F8" s="22">
        <f>MAX((F5+F6),0)</f>
        <v>1951.2211822166478</v>
      </c>
      <c r="G8" s="22"/>
      <c r="H8" s="22"/>
      <c r="I8" s="22"/>
      <c r="J8" s="22">
        <f>MAX((J5+J6),0)</f>
        <v>73.965983396913344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0.16967950115308228</v>
      </c>
      <c r="C10" s="32">
        <f ca="1">'EF ele_warmte'!B22</f>
        <v>3.2421154000481509E-4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101.45527636795441</v>
      </c>
      <c r="C12" s="24">
        <f ca="1">C8*C10</f>
        <v>0</v>
      </c>
      <c r="D12" s="24">
        <f>D8*D10</f>
        <v>64.427881012</v>
      </c>
      <c r="E12" s="24">
        <f>E8*E10</f>
        <v>1.2786536089122196</v>
      </c>
      <c r="F12" s="24">
        <f>F8*F10</f>
        <v>520.97605565184494</v>
      </c>
      <c r="G12" s="24"/>
      <c r="H12" s="24"/>
      <c r="I12" s="24"/>
      <c r="J12" s="24">
        <f>J8*J10</f>
        <v>26.183958122507324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8.0949219695888544E-2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139.08517420299333</v>
      </c>
      <c r="C26" s="250">
        <f>B26*'GWP N2O_CH4'!B5</f>
        <v>2920.7886582628598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47.292523640347028</v>
      </c>
      <c r="C27" s="250">
        <f>B27*'GWP N2O_CH4'!B5</f>
        <v>993.1429964472876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1.8128738972712415</v>
      </c>
      <c r="C28" s="250">
        <f>B28*'GWP N2O_CH4'!B4</f>
        <v>561.99090815408488</v>
      </c>
      <c r="D28" s="51"/>
    </row>
    <row r="29" spans="1:4">
      <c r="A29" s="42" t="s">
        <v>277</v>
      </c>
      <c r="B29" s="250">
        <f>B34*'ha_N2O bodem landbouw'!B4</f>
        <v>11.030729708280933</v>
      </c>
      <c r="C29" s="250">
        <f>B29*'GWP N2O_CH4'!B4</f>
        <v>3419.5262095670892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2.9779497709212137E-3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1.4206391982374764E-5</v>
      </c>
      <c r="C5" s="447" t="s">
        <v>211</v>
      </c>
      <c r="D5" s="432">
        <f>SUM(D6:D11)</f>
        <v>4.0578865751849412E-5</v>
      </c>
      <c r="E5" s="432">
        <f>SUM(E6:E11)</f>
        <v>2.3401924270980241E-3</v>
      </c>
      <c r="F5" s="445" t="s">
        <v>211</v>
      </c>
      <c r="G5" s="432">
        <f>SUM(G6:G11)</f>
        <v>0.41544180048476931</v>
      </c>
      <c r="H5" s="432">
        <f>SUM(H6:H11)</f>
        <v>8.9892937971494419E-2</v>
      </c>
      <c r="I5" s="447" t="s">
        <v>211</v>
      </c>
      <c r="J5" s="447" t="s">
        <v>211</v>
      </c>
      <c r="K5" s="447" t="s">
        <v>211</v>
      </c>
      <c r="L5" s="447" t="s">
        <v>211</v>
      </c>
      <c r="M5" s="432">
        <f>SUM(M6:M11)</f>
        <v>2.2611668357694733E-2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1.1171076493084687E-5</v>
      </c>
      <c r="C6" s="433"/>
      <c r="D6" s="433">
        <f>vkm_2011_GW_PW*SUMIFS(TableVerdeelsleutelVkm[CNG],TableVerdeelsleutelVkm[Voertuigtype],"Lichte voertuigen")*SUMIFS(TableECFTransport[EnergieConsumptieFactor (PJ per km)],TableECFTransport[Index],CONCATENATE($A6,"_CNG_CNG"))</f>
        <v>2.7279955879319973E-5</v>
      </c>
      <c r="E6" s="435">
        <f>vkm_2011_GW_PW*SUMIFS(TableVerdeelsleutelVkm[LPG],TableVerdeelsleutelVkm[Voertuigtype],"Lichte voertuigen")*SUMIFS(TableECFTransport[EnergieConsumptieFactor (PJ per km)],TableECFTransport[Index],CONCATENATE($A6,"_LPG_LPG"))</f>
        <v>1.6170148055054141E-3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0.23375851185129046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6.1261390198580158E-2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1.3211534526266371E-2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7.6585731375415397E-2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3.0899356783284893E-5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3.4118706373153836E-3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3.0353154892900776E-6</v>
      </c>
      <c r="C8" s="433"/>
      <c r="D8" s="435">
        <f>vkm_2011_NGW_PW*SUMIFS(TableVerdeelsleutelVkm[CNG],TableVerdeelsleutelVkm[Voertuigtype],"Lichte voertuigen")*SUMIFS(TableECFTransport[EnergieConsumptieFactor (PJ per km)],TableECFTransport[Index],CONCATENATE($A8,"_CNG_CNG"))</f>
        <v>1.3298909872529441E-5</v>
      </c>
      <c r="E8" s="435">
        <f>vkm_2011_NGW_PW*SUMIFS(TableVerdeelsleutelVkm[LPG],TableVerdeelsleutelVkm[Voertuigtype],"Lichte voertuigen")*SUMIFS(TableECFTransport[EnergieConsumptieFactor (PJ per km)],TableECFTransport[Index],CONCATENATE($A8,"_LPG_LPG"))</f>
        <v>7.2317762159260994E-4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9.8760985821049641E-2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2.8598422431001042E-2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5.7059860169564125E-3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6.3365714370138236E-3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2.2259851299364403E-6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2.8227717715656903E-4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3.946219995104101</v>
      </c>
      <c r="C14" s="22"/>
      <c r="D14" s="22">
        <f t="shared" ref="D14:M14" si="0">((D5)*10^9/3600)+D12</f>
        <v>11.271907153291504</v>
      </c>
      <c r="E14" s="22">
        <f t="shared" si="0"/>
        <v>650.05345197167333</v>
      </c>
      <c r="F14" s="22"/>
      <c r="G14" s="22">
        <f t="shared" si="0"/>
        <v>115400.50013465814</v>
      </c>
      <c r="H14" s="22">
        <f t="shared" si="0"/>
        <v>24970.260547637339</v>
      </c>
      <c r="I14" s="22"/>
      <c r="J14" s="22"/>
      <c r="K14" s="22"/>
      <c r="L14" s="22"/>
      <c r="M14" s="22">
        <f t="shared" si="0"/>
        <v>6281.0189882485374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0.16967950115308228</v>
      </c>
      <c r="C16" s="57">
        <f ca="1">'EF ele_warmte'!B22</f>
        <v>3.2421154000481509E-4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0.66959264020958265</v>
      </c>
      <c r="C18" s="24"/>
      <c r="D18" s="24">
        <f t="shared" ref="D18:M18" si="1">D14*D16</f>
        <v>2.2769252449648842</v>
      </c>
      <c r="E18" s="24">
        <f t="shared" si="1"/>
        <v>147.56213359756984</v>
      </c>
      <c r="F18" s="24"/>
      <c r="G18" s="24">
        <f t="shared" si="1"/>
        <v>30811.933535953725</v>
      </c>
      <c r="H18" s="24">
        <f t="shared" si="1"/>
        <v>6217.5948763616971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8.8365441761065981E-3</v>
      </c>
      <c r="H50" s="323">
        <f t="shared" si="2"/>
        <v>0</v>
      </c>
      <c r="I50" s="323">
        <f t="shared" si="2"/>
        <v>0</v>
      </c>
      <c r="J50" s="323">
        <f t="shared" si="2"/>
        <v>0</v>
      </c>
      <c r="K50" s="323">
        <f t="shared" si="2"/>
        <v>0</v>
      </c>
      <c r="L50" s="323">
        <f t="shared" si="2"/>
        <v>0</v>
      </c>
      <c r="M50" s="323">
        <f t="shared" si="2"/>
        <v>3.8802723156425339E-4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8.8365441761065981E-3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3.8802723156425339E-4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2454.5956044740551</v>
      </c>
      <c r="H54" s="22">
        <f t="shared" si="3"/>
        <v>0</v>
      </c>
      <c r="I54" s="22">
        <f t="shared" si="3"/>
        <v>0</v>
      </c>
      <c r="J54" s="22">
        <f t="shared" si="3"/>
        <v>0</v>
      </c>
      <c r="K54" s="22">
        <f t="shared" si="3"/>
        <v>0</v>
      </c>
      <c r="L54" s="22">
        <f t="shared" si="3"/>
        <v>0</v>
      </c>
      <c r="M54" s="22">
        <f t="shared" si="3"/>
        <v>107.7853421011815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0.16967950115308228</v>
      </c>
      <c r="C56" s="57">
        <f ca="1">'EF ele_warmte'!B22</f>
        <v>3.2421154000481509E-4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655.37702639457279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88261.413</v>
      </c>
      <c r="D10" s="688">
        <f ca="1">tertiair!C16</f>
        <v>25916.785714285714</v>
      </c>
      <c r="E10" s="688">
        <f ca="1">tertiair!D16</f>
        <v>68366.553118285694</v>
      </c>
      <c r="F10" s="688">
        <f>tertiair!E16</f>
        <v>947.54774332168654</v>
      </c>
      <c r="G10" s="688">
        <f ca="1">tertiair!F16</f>
        <v>15156.754502048876</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198649.05407794198</v>
      </c>
      <c r="S10" s="68"/>
    </row>
    <row r="11" spans="1:19" s="457" customFormat="1">
      <c r="A11" s="803" t="s">
        <v>225</v>
      </c>
      <c r="B11" s="808"/>
      <c r="C11" s="688">
        <f>huishoudens!B8</f>
        <v>66095.050763477848</v>
      </c>
      <c r="D11" s="688">
        <f>huishoudens!C8</f>
        <v>0</v>
      </c>
      <c r="E11" s="688">
        <f>huishoudens!D8</f>
        <v>119793.20837000001</v>
      </c>
      <c r="F11" s="688">
        <f>huishoudens!E8</f>
        <v>9365.3253495032404</v>
      </c>
      <c r="G11" s="688">
        <f>huishoudens!F8</f>
        <v>62151.025685922352</v>
      </c>
      <c r="H11" s="688">
        <f>huishoudens!G8</f>
        <v>0</v>
      </c>
      <c r="I11" s="688">
        <f>huishoudens!H8</f>
        <v>0</v>
      </c>
      <c r="J11" s="688">
        <f>huishoudens!I8</f>
        <v>0</v>
      </c>
      <c r="K11" s="688">
        <f>huishoudens!J8</f>
        <v>0</v>
      </c>
      <c r="L11" s="688">
        <f>huishoudens!K8</f>
        <v>0</v>
      </c>
      <c r="M11" s="688">
        <f>huishoudens!L8</f>
        <v>0</v>
      </c>
      <c r="N11" s="688">
        <f>huishoudens!M8</f>
        <v>0</v>
      </c>
      <c r="O11" s="688">
        <f>huishoudens!N8</f>
        <v>33179.227070934365</v>
      </c>
      <c r="P11" s="688">
        <f>huishoudens!O8</f>
        <v>229.81</v>
      </c>
      <c r="Q11" s="689">
        <f>huishoudens!P8</f>
        <v>667.33333333333337</v>
      </c>
      <c r="R11" s="691">
        <f>SUM(C11:Q11)</f>
        <v>291480.98057317117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121628.29399999999</v>
      </c>
      <c r="D13" s="688">
        <f>industrie!C18</f>
        <v>0</v>
      </c>
      <c r="E13" s="688">
        <f>industrie!D18</f>
        <v>239687.87460200003</v>
      </c>
      <c r="F13" s="688">
        <f>industrie!E18</f>
        <v>1136.7317066382245</v>
      </c>
      <c r="G13" s="688">
        <f>industrie!F18</f>
        <v>28242.927456979014</v>
      </c>
      <c r="H13" s="688">
        <f>industrie!G18</f>
        <v>0</v>
      </c>
      <c r="I13" s="688">
        <f>industrie!H18</f>
        <v>0</v>
      </c>
      <c r="J13" s="688">
        <f>industrie!I18</f>
        <v>0</v>
      </c>
      <c r="K13" s="688">
        <f>industrie!J18</f>
        <v>718.36879059221963</v>
      </c>
      <c r="L13" s="688">
        <f>industrie!K18</f>
        <v>0</v>
      </c>
      <c r="M13" s="688">
        <f>industrie!L18</f>
        <v>0</v>
      </c>
      <c r="N13" s="688">
        <f>industrie!M18</f>
        <v>0</v>
      </c>
      <c r="O13" s="688">
        <f>industrie!N18</f>
        <v>3221.7317243952675</v>
      </c>
      <c r="P13" s="688">
        <f>industrie!O18</f>
        <v>0</v>
      </c>
      <c r="Q13" s="689">
        <f>industrie!P18</f>
        <v>0</v>
      </c>
      <c r="R13" s="691">
        <f>SUM(C13:Q13)</f>
        <v>394635.92828060471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275984.75776347786</v>
      </c>
      <c r="D16" s="721">
        <f t="shared" ref="D16:R16" ca="1" si="0">SUM(D9:D15)</f>
        <v>25916.785714285714</v>
      </c>
      <c r="E16" s="721">
        <f t="shared" ca="1" si="0"/>
        <v>427847.63609028573</v>
      </c>
      <c r="F16" s="721">
        <f t="shared" si="0"/>
        <v>11449.604799463152</v>
      </c>
      <c r="G16" s="721">
        <f t="shared" ca="1" si="0"/>
        <v>105550.70764495023</v>
      </c>
      <c r="H16" s="721">
        <f t="shared" si="0"/>
        <v>0</v>
      </c>
      <c r="I16" s="721">
        <f t="shared" si="0"/>
        <v>0</v>
      </c>
      <c r="J16" s="721">
        <f t="shared" si="0"/>
        <v>0</v>
      </c>
      <c r="K16" s="721">
        <f t="shared" si="0"/>
        <v>718.36879059221963</v>
      </c>
      <c r="L16" s="721">
        <f t="shared" si="0"/>
        <v>0</v>
      </c>
      <c r="M16" s="721">
        <f t="shared" ca="1" si="0"/>
        <v>0</v>
      </c>
      <c r="N16" s="721">
        <f t="shared" si="0"/>
        <v>0</v>
      </c>
      <c r="O16" s="721">
        <f t="shared" ca="1" si="0"/>
        <v>36400.958795329629</v>
      </c>
      <c r="P16" s="721">
        <f t="shared" si="0"/>
        <v>229.81</v>
      </c>
      <c r="Q16" s="721">
        <f t="shared" si="0"/>
        <v>667.33333333333337</v>
      </c>
      <c r="R16" s="721">
        <f t="shared" ca="1" si="0"/>
        <v>884765.96293171786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2454.5956044740551</v>
      </c>
      <c r="I19" s="688">
        <f>transport!H54</f>
        <v>0</v>
      </c>
      <c r="J19" s="688">
        <f>transport!I54</f>
        <v>0</v>
      </c>
      <c r="K19" s="688">
        <f>transport!J54</f>
        <v>0</v>
      </c>
      <c r="L19" s="688">
        <f>transport!K54</f>
        <v>0</v>
      </c>
      <c r="M19" s="688">
        <f>transport!L54</f>
        <v>0</v>
      </c>
      <c r="N19" s="688">
        <f>transport!M54</f>
        <v>107.7853421011815</v>
      </c>
      <c r="O19" s="688">
        <f>transport!N54</f>
        <v>0</v>
      </c>
      <c r="P19" s="688">
        <f>transport!O54</f>
        <v>0</v>
      </c>
      <c r="Q19" s="689">
        <f>transport!P54</f>
        <v>0</v>
      </c>
      <c r="R19" s="691">
        <f>SUM(C19:Q19)</f>
        <v>2562.3809465752365</v>
      </c>
      <c r="S19" s="68"/>
    </row>
    <row r="20" spans="1:19" s="457" customFormat="1">
      <c r="A20" s="803" t="s">
        <v>307</v>
      </c>
      <c r="B20" s="808"/>
      <c r="C20" s="688">
        <f>transport!B14</f>
        <v>3.946219995104101</v>
      </c>
      <c r="D20" s="688">
        <f>transport!C14</f>
        <v>0</v>
      </c>
      <c r="E20" s="688">
        <f>transport!D14</f>
        <v>11.271907153291504</v>
      </c>
      <c r="F20" s="688">
        <f>transport!E14</f>
        <v>650.05345197167333</v>
      </c>
      <c r="G20" s="688">
        <f>transport!F14</f>
        <v>0</v>
      </c>
      <c r="H20" s="688">
        <f>transport!G14</f>
        <v>115400.50013465814</v>
      </c>
      <c r="I20" s="688">
        <f>transport!H14</f>
        <v>24970.260547637339</v>
      </c>
      <c r="J20" s="688">
        <f>transport!I14</f>
        <v>0</v>
      </c>
      <c r="K20" s="688">
        <f>transport!J14</f>
        <v>0</v>
      </c>
      <c r="L20" s="688">
        <f>transport!K14</f>
        <v>0</v>
      </c>
      <c r="M20" s="688">
        <f>transport!L14</f>
        <v>0</v>
      </c>
      <c r="N20" s="688">
        <f>transport!M14</f>
        <v>6281.0189882485374</v>
      </c>
      <c r="O20" s="688">
        <f>transport!N14</f>
        <v>0</v>
      </c>
      <c r="P20" s="688">
        <f>transport!O14</f>
        <v>0</v>
      </c>
      <c r="Q20" s="689">
        <f>transport!P14</f>
        <v>0</v>
      </c>
      <c r="R20" s="691">
        <f>SUM(C20:Q20)</f>
        <v>147317.0512496641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3.946219995104101</v>
      </c>
      <c r="D22" s="806">
        <f t="shared" ref="D22:R22" si="1">SUM(D18:D21)</f>
        <v>0</v>
      </c>
      <c r="E22" s="806">
        <f t="shared" si="1"/>
        <v>11.271907153291504</v>
      </c>
      <c r="F22" s="806">
        <f t="shared" si="1"/>
        <v>650.05345197167333</v>
      </c>
      <c r="G22" s="806">
        <f t="shared" si="1"/>
        <v>0</v>
      </c>
      <c r="H22" s="806">
        <f t="shared" si="1"/>
        <v>117855.0957391322</v>
      </c>
      <c r="I22" s="806">
        <f t="shared" si="1"/>
        <v>24970.260547637339</v>
      </c>
      <c r="J22" s="806">
        <f t="shared" si="1"/>
        <v>0</v>
      </c>
      <c r="K22" s="806">
        <f t="shared" si="1"/>
        <v>0</v>
      </c>
      <c r="L22" s="806">
        <f t="shared" si="1"/>
        <v>0</v>
      </c>
      <c r="M22" s="806">
        <f t="shared" si="1"/>
        <v>0</v>
      </c>
      <c r="N22" s="806">
        <f t="shared" si="1"/>
        <v>6388.8043303497188</v>
      </c>
      <c r="O22" s="806">
        <f t="shared" si="1"/>
        <v>0</v>
      </c>
      <c r="P22" s="806">
        <f t="shared" si="1"/>
        <v>0</v>
      </c>
      <c r="Q22" s="806">
        <f t="shared" si="1"/>
        <v>0</v>
      </c>
      <c r="R22" s="806">
        <f t="shared" si="1"/>
        <v>149879.43219623933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597.923</v>
      </c>
      <c r="D24" s="688">
        <f>+landbouw!C8</f>
        <v>0</v>
      </c>
      <c r="E24" s="688">
        <f>+landbouw!D8</f>
        <v>318.949906</v>
      </c>
      <c r="F24" s="688">
        <f>+landbouw!E8</f>
        <v>5.6328352815516283</v>
      </c>
      <c r="G24" s="688">
        <f>+landbouw!F8</f>
        <v>1951.2211822166478</v>
      </c>
      <c r="H24" s="688">
        <f>+landbouw!G8</f>
        <v>0</v>
      </c>
      <c r="I24" s="688">
        <f>+landbouw!H8</f>
        <v>0</v>
      </c>
      <c r="J24" s="688">
        <f>+landbouw!I8</f>
        <v>0</v>
      </c>
      <c r="K24" s="688">
        <f>+landbouw!J8</f>
        <v>73.965983396913344</v>
      </c>
      <c r="L24" s="688">
        <f>+landbouw!K8</f>
        <v>0</v>
      </c>
      <c r="M24" s="688">
        <f>+landbouw!L8</f>
        <v>0</v>
      </c>
      <c r="N24" s="688">
        <f>+landbouw!M8</f>
        <v>0</v>
      </c>
      <c r="O24" s="688">
        <f>+landbouw!N8</f>
        <v>0</v>
      </c>
      <c r="P24" s="688">
        <f>+landbouw!O8</f>
        <v>0</v>
      </c>
      <c r="Q24" s="689">
        <f>+landbouw!P8</f>
        <v>0</v>
      </c>
      <c r="R24" s="691">
        <f>SUM(C24:Q24)</f>
        <v>2947.6929068951131</v>
      </c>
      <c r="S24" s="68"/>
    </row>
    <row r="25" spans="1:19" s="457" customFormat="1" ht="15" thickBot="1">
      <c r="A25" s="825" t="s">
        <v>912</v>
      </c>
      <c r="B25" s="1001"/>
      <c r="C25" s="1002">
        <f>IF(Onbekend_ele_kWh="---",0,Onbekend_ele_kWh)/1000+IF(REST_rest_ele_kWh="---",0,REST_rest_ele_kWh)/1000</f>
        <v>1023.854</v>
      </c>
      <c r="D25" s="1002"/>
      <c r="E25" s="1002">
        <f>IF(onbekend_gas_kWh="---",0,onbekend_gas_kWh)/1000+IF(REST_rest_gas_kWh="---",0,REST_rest_gas_kWh)/1000</f>
        <v>6361.9210000000003</v>
      </c>
      <c r="F25" s="1002"/>
      <c r="G25" s="1002"/>
      <c r="H25" s="1002"/>
      <c r="I25" s="1002"/>
      <c r="J25" s="1002"/>
      <c r="K25" s="1002"/>
      <c r="L25" s="1002"/>
      <c r="M25" s="1002"/>
      <c r="N25" s="1002"/>
      <c r="O25" s="1002"/>
      <c r="P25" s="1002"/>
      <c r="Q25" s="1003"/>
      <c r="R25" s="691">
        <f>SUM(C25:Q25)</f>
        <v>7385.7750000000005</v>
      </c>
      <c r="S25" s="68"/>
    </row>
    <row r="26" spans="1:19" s="457" customFormat="1" ht="15.75" thickBot="1">
      <c r="A26" s="694" t="s">
        <v>913</v>
      </c>
      <c r="B26" s="811"/>
      <c r="C26" s="806">
        <f>SUM(C24:C25)</f>
        <v>1621.777</v>
      </c>
      <c r="D26" s="806">
        <f t="shared" ref="D26:R26" si="2">SUM(D24:D25)</f>
        <v>0</v>
      </c>
      <c r="E26" s="806">
        <f t="shared" si="2"/>
        <v>6680.8709060000001</v>
      </c>
      <c r="F26" s="806">
        <f t="shared" si="2"/>
        <v>5.6328352815516283</v>
      </c>
      <c r="G26" s="806">
        <f t="shared" si="2"/>
        <v>1951.2211822166478</v>
      </c>
      <c r="H26" s="806">
        <f t="shared" si="2"/>
        <v>0</v>
      </c>
      <c r="I26" s="806">
        <f t="shared" si="2"/>
        <v>0</v>
      </c>
      <c r="J26" s="806">
        <f t="shared" si="2"/>
        <v>0</v>
      </c>
      <c r="K26" s="806">
        <f t="shared" si="2"/>
        <v>73.965983396913344</v>
      </c>
      <c r="L26" s="806">
        <f t="shared" si="2"/>
        <v>0</v>
      </c>
      <c r="M26" s="806">
        <f t="shared" si="2"/>
        <v>0</v>
      </c>
      <c r="N26" s="806">
        <f t="shared" si="2"/>
        <v>0</v>
      </c>
      <c r="O26" s="806">
        <f t="shared" si="2"/>
        <v>0</v>
      </c>
      <c r="P26" s="806">
        <f t="shared" si="2"/>
        <v>0</v>
      </c>
      <c r="Q26" s="806">
        <f t="shared" si="2"/>
        <v>0</v>
      </c>
      <c r="R26" s="806">
        <f t="shared" si="2"/>
        <v>10333.467906895114</v>
      </c>
      <c r="S26" s="68"/>
    </row>
    <row r="27" spans="1:19" s="457" customFormat="1" ht="17.25" thickTop="1" thickBot="1">
      <c r="A27" s="695" t="s">
        <v>116</v>
      </c>
      <c r="B27" s="798"/>
      <c r="C27" s="696">
        <f ca="1">C22+C16+C26</f>
        <v>277610.48098347295</v>
      </c>
      <c r="D27" s="696">
        <f t="shared" ref="D27:R27" ca="1" si="3">D22+D16+D26</f>
        <v>25916.785714285714</v>
      </c>
      <c r="E27" s="696">
        <f t="shared" ca="1" si="3"/>
        <v>434539.77890343906</v>
      </c>
      <c r="F27" s="696">
        <f t="shared" si="3"/>
        <v>12105.291086716376</v>
      </c>
      <c r="G27" s="696">
        <f t="shared" ca="1" si="3"/>
        <v>107501.92882716688</v>
      </c>
      <c r="H27" s="696">
        <f t="shared" si="3"/>
        <v>117855.0957391322</v>
      </c>
      <c r="I27" s="696">
        <f t="shared" si="3"/>
        <v>24970.260547637339</v>
      </c>
      <c r="J27" s="696">
        <f t="shared" si="3"/>
        <v>0</v>
      </c>
      <c r="K27" s="696">
        <f t="shared" si="3"/>
        <v>792.33477398913294</v>
      </c>
      <c r="L27" s="696">
        <f t="shared" si="3"/>
        <v>0</v>
      </c>
      <c r="M27" s="696">
        <f t="shared" ca="1" si="3"/>
        <v>0</v>
      </c>
      <c r="N27" s="696">
        <f t="shared" si="3"/>
        <v>6388.8043303497188</v>
      </c>
      <c r="O27" s="696">
        <f t="shared" ca="1" si="3"/>
        <v>36400.958795329629</v>
      </c>
      <c r="P27" s="696">
        <f t="shared" si="3"/>
        <v>229.81</v>
      </c>
      <c r="Q27" s="696">
        <f t="shared" si="3"/>
        <v>667.33333333333337</v>
      </c>
      <c r="R27" s="696">
        <f t="shared" ca="1" si="3"/>
        <v>1044978.8630348523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14976.152528906172</v>
      </c>
      <c r="D40" s="688">
        <f ca="1">tertiair!C20</f>
        <v>8.4025210084033635</v>
      </c>
      <c r="E40" s="688">
        <f ca="1">tertiair!D20</f>
        <v>13810.04372989371</v>
      </c>
      <c r="F40" s="688">
        <f>tertiair!E20</f>
        <v>215.09333773402284</v>
      </c>
      <c r="G40" s="688">
        <f ca="1">tertiair!F20</f>
        <v>4046.8534520470503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33056.545569589362</v>
      </c>
    </row>
    <row r="41" spans="1:18">
      <c r="A41" s="816" t="s">
        <v>225</v>
      </c>
      <c r="B41" s="823"/>
      <c r="C41" s="688">
        <f ca="1">huishoudens!B12</f>
        <v>11214.975242234572</v>
      </c>
      <c r="D41" s="688">
        <f ca="1">huishoudens!C12</f>
        <v>0</v>
      </c>
      <c r="E41" s="688">
        <f>huishoudens!D12</f>
        <v>24198.228090740002</v>
      </c>
      <c r="F41" s="688">
        <f>huishoudens!E12</f>
        <v>2125.9288543372359</v>
      </c>
      <c r="G41" s="688">
        <f>huishoudens!F12</f>
        <v>16594.32385814127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54133.456045453087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20637.82825202043</v>
      </c>
      <c r="D43" s="688">
        <f ca="1">industrie!C22</f>
        <v>0</v>
      </c>
      <c r="E43" s="688">
        <f>industrie!D22</f>
        <v>48416.950669604012</v>
      </c>
      <c r="F43" s="688">
        <f>industrie!E22</f>
        <v>258.038097406877</v>
      </c>
      <c r="G43" s="688">
        <f>industrie!F22</f>
        <v>7540.8616310133975</v>
      </c>
      <c r="H43" s="688">
        <f>industrie!G22</f>
        <v>0</v>
      </c>
      <c r="I43" s="688">
        <f>industrie!H22</f>
        <v>0</v>
      </c>
      <c r="J43" s="688">
        <f>industrie!I22</f>
        <v>0</v>
      </c>
      <c r="K43" s="688">
        <f>industrie!J22</f>
        <v>254.30255186964573</v>
      </c>
      <c r="L43" s="688">
        <f>industrie!K22</f>
        <v>0</v>
      </c>
      <c r="M43" s="688">
        <f>industrie!L22</f>
        <v>0</v>
      </c>
      <c r="N43" s="688">
        <f>industrie!M22</f>
        <v>0</v>
      </c>
      <c r="O43" s="688">
        <f>industrie!N22</f>
        <v>0</v>
      </c>
      <c r="P43" s="688">
        <f>industrie!O22</f>
        <v>0</v>
      </c>
      <c r="Q43" s="763">
        <f>industrie!P22</f>
        <v>0</v>
      </c>
      <c r="R43" s="843">
        <f t="shared" ca="1" si="4"/>
        <v>77107.981201914372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46828.956023161176</v>
      </c>
      <c r="D46" s="721">
        <f t="shared" ref="D46:Q46" ca="1" si="5">SUM(D39:D45)</f>
        <v>8.4025210084033635</v>
      </c>
      <c r="E46" s="721">
        <f t="shared" ca="1" si="5"/>
        <v>86425.222490237735</v>
      </c>
      <c r="F46" s="721">
        <f t="shared" si="5"/>
        <v>2599.0602894781359</v>
      </c>
      <c r="G46" s="721">
        <f t="shared" ca="1" si="5"/>
        <v>28182.038941201718</v>
      </c>
      <c r="H46" s="721">
        <f t="shared" si="5"/>
        <v>0</v>
      </c>
      <c r="I46" s="721">
        <f t="shared" si="5"/>
        <v>0</v>
      </c>
      <c r="J46" s="721">
        <f t="shared" si="5"/>
        <v>0</v>
      </c>
      <c r="K46" s="721">
        <f t="shared" si="5"/>
        <v>254.30255186964573</v>
      </c>
      <c r="L46" s="721">
        <f t="shared" si="5"/>
        <v>0</v>
      </c>
      <c r="M46" s="721">
        <f t="shared" ca="1" si="5"/>
        <v>0</v>
      </c>
      <c r="N46" s="721">
        <f t="shared" si="5"/>
        <v>0</v>
      </c>
      <c r="O46" s="721">
        <f t="shared" ca="1" si="5"/>
        <v>0</v>
      </c>
      <c r="P46" s="721">
        <f t="shared" si="5"/>
        <v>0</v>
      </c>
      <c r="Q46" s="721">
        <f t="shared" si="5"/>
        <v>0</v>
      </c>
      <c r="R46" s="721">
        <f ca="1">SUM(R39:R45)</f>
        <v>164297.98281695682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655.37702639457279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655.37702639457279</v>
      </c>
    </row>
    <row r="50" spans="1:18">
      <c r="A50" s="819" t="s">
        <v>307</v>
      </c>
      <c r="B50" s="829"/>
      <c r="C50" s="1008">
        <f ca="1">transport!B18</f>
        <v>0.66959264020958265</v>
      </c>
      <c r="D50" s="1008">
        <f>transport!C18</f>
        <v>0</v>
      </c>
      <c r="E50" s="1008">
        <f>transport!D18</f>
        <v>2.2769252449648842</v>
      </c>
      <c r="F50" s="1008">
        <f>transport!E18</f>
        <v>147.56213359756984</v>
      </c>
      <c r="G50" s="1008">
        <f>transport!F18</f>
        <v>0</v>
      </c>
      <c r="H50" s="1008">
        <f>transport!G18</f>
        <v>30811.933535953725</v>
      </c>
      <c r="I50" s="1008">
        <f>transport!H18</f>
        <v>6217.5948763616971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37180.037063798169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0.66959264020958265</v>
      </c>
      <c r="D52" s="721">
        <f t="shared" ref="D52:Q52" ca="1" si="6">SUM(D48:D51)</f>
        <v>0</v>
      </c>
      <c r="E52" s="721">
        <f t="shared" si="6"/>
        <v>2.2769252449648842</v>
      </c>
      <c r="F52" s="721">
        <f t="shared" si="6"/>
        <v>147.56213359756984</v>
      </c>
      <c r="G52" s="721">
        <f t="shared" si="6"/>
        <v>0</v>
      </c>
      <c r="H52" s="721">
        <f t="shared" si="6"/>
        <v>31467.310562348299</v>
      </c>
      <c r="I52" s="721">
        <f t="shared" si="6"/>
        <v>6217.5948763616971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37835.414090192739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101.45527636795441</v>
      </c>
      <c r="D54" s="1008">
        <f ca="1">+landbouw!C12</f>
        <v>0</v>
      </c>
      <c r="E54" s="1008">
        <f>+landbouw!D12</f>
        <v>64.427881012</v>
      </c>
      <c r="F54" s="1008">
        <f>+landbouw!E12</f>
        <v>1.2786536089122196</v>
      </c>
      <c r="G54" s="1008">
        <f>+landbouw!F12</f>
        <v>520.97605565184494</v>
      </c>
      <c r="H54" s="1008">
        <f>+landbouw!G12</f>
        <v>0</v>
      </c>
      <c r="I54" s="1008">
        <f>+landbouw!H12</f>
        <v>0</v>
      </c>
      <c r="J54" s="1008">
        <f>+landbouw!I12</f>
        <v>0</v>
      </c>
      <c r="K54" s="1008">
        <f>+landbouw!J12</f>
        <v>26.183958122507324</v>
      </c>
      <c r="L54" s="1008">
        <f>+landbouw!K12</f>
        <v>0</v>
      </c>
      <c r="M54" s="1008">
        <f>+landbouw!L12</f>
        <v>0</v>
      </c>
      <c r="N54" s="1008">
        <f>+landbouw!M12</f>
        <v>0</v>
      </c>
      <c r="O54" s="1008">
        <f>+landbouw!N12</f>
        <v>0</v>
      </c>
      <c r="P54" s="1008">
        <f>+landbouw!O12</f>
        <v>0</v>
      </c>
      <c r="Q54" s="1009">
        <f>+landbouw!P12</f>
        <v>0</v>
      </c>
      <c r="R54" s="720">
        <f ca="1">SUM(C54:Q54)</f>
        <v>714.32182476321884</v>
      </c>
    </row>
    <row r="55" spans="1:18" ht="15" thickBot="1">
      <c r="A55" s="819" t="s">
        <v>912</v>
      </c>
      <c r="B55" s="829"/>
      <c r="C55" s="1008">
        <f ca="1">C25*'EF ele_warmte'!B12</f>
        <v>173.7270359735879</v>
      </c>
      <c r="D55" s="1008"/>
      <c r="E55" s="1008">
        <f>E25*EF_CO2_aardgas</f>
        <v>1285.1080420000001</v>
      </c>
      <c r="F55" s="1008"/>
      <c r="G55" s="1008"/>
      <c r="H55" s="1008"/>
      <c r="I55" s="1008"/>
      <c r="J55" s="1008"/>
      <c r="K55" s="1008"/>
      <c r="L55" s="1008"/>
      <c r="M55" s="1008"/>
      <c r="N55" s="1008"/>
      <c r="O55" s="1008"/>
      <c r="P55" s="1008"/>
      <c r="Q55" s="1009"/>
      <c r="R55" s="720">
        <f ca="1">SUM(C55:Q55)</f>
        <v>1458.8350779735879</v>
      </c>
    </row>
    <row r="56" spans="1:18" ht="15.75" thickBot="1">
      <c r="A56" s="817" t="s">
        <v>913</v>
      </c>
      <c r="B56" s="830"/>
      <c r="C56" s="721">
        <f ca="1">SUM(C54:C55)</f>
        <v>275.18231234154234</v>
      </c>
      <c r="D56" s="721">
        <f t="shared" ref="D56:Q56" ca="1" si="7">SUM(D54:D55)</f>
        <v>0</v>
      </c>
      <c r="E56" s="721">
        <f t="shared" si="7"/>
        <v>1349.535923012</v>
      </c>
      <c r="F56" s="721">
        <f t="shared" si="7"/>
        <v>1.2786536089122196</v>
      </c>
      <c r="G56" s="721">
        <f t="shared" si="7"/>
        <v>520.97605565184494</v>
      </c>
      <c r="H56" s="721">
        <f t="shared" si="7"/>
        <v>0</v>
      </c>
      <c r="I56" s="721">
        <f t="shared" si="7"/>
        <v>0</v>
      </c>
      <c r="J56" s="721">
        <f t="shared" si="7"/>
        <v>0</v>
      </c>
      <c r="K56" s="721">
        <f t="shared" si="7"/>
        <v>26.183958122507324</v>
      </c>
      <c r="L56" s="721">
        <f t="shared" si="7"/>
        <v>0</v>
      </c>
      <c r="M56" s="721">
        <f t="shared" si="7"/>
        <v>0</v>
      </c>
      <c r="N56" s="721">
        <f t="shared" si="7"/>
        <v>0</v>
      </c>
      <c r="O56" s="721">
        <f t="shared" si="7"/>
        <v>0</v>
      </c>
      <c r="P56" s="721">
        <f t="shared" si="7"/>
        <v>0</v>
      </c>
      <c r="Q56" s="722">
        <f t="shared" si="7"/>
        <v>0</v>
      </c>
      <c r="R56" s="723">
        <f ca="1">SUM(R54:R55)</f>
        <v>2173.1569027368068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47104.807928142931</v>
      </c>
      <c r="D61" s="729">
        <f t="shared" ref="D61:Q61" ca="1" si="8">D46+D52+D56</f>
        <v>8.4025210084033635</v>
      </c>
      <c r="E61" s="729">
        <f t="shared" ca="1" si="8"/>
        <v>87777.035338494694</v>
      </c>
      <c r="F61" s="729">
        <f t="shared" si="8"/>
        <v>2747.9010766846177</v>
      </c>
      <c r="G61" s="729">
        <f t="shared" ca="1" si="8"/>
        <v>28703.014996853562</v>
      </c>
      <c r="H61" s="729">
        <f t="shared" si="8"/>
        <v>31467.310562348299</v>
      </c>
      <c r="I61" s="729">
        <f t="shared" si="8"/>
        <v>6217.5948763616971</v>
      </c>
      <c r="J61" s="729">
        <f t="shared" si="8"/>
        <v>0</v>
      </c>
      <c r="K61" s="729">
        <f t="shared" si="8"/>
        <v>280.48650999215306</v>
      </c>
      <c r="L61" s="729">
        <f t="shared" si="8"/>
        <v>0</v>
      </c>
      <c r="M61" s="729">
        <f t="shared" ca="1" si="8"/>
        <v>0</v>
      </c>
      <c r="N61" s="729">
        <f t="shared" si="8"/>
        <v>0</v>
      </c>
      <c r="O61" s="729">
        <f t="shared" ca="1" si="8"/>
        <v>0</v>
      </c>
      <c r="P61" s="729">
        <f t="shared" si="8"/>
        <v>0</v>
      </c>
      <c r="Q61" s="729">
        <f t="shared" si="8"/>
        <v>0</v>
      </c>
      <c r="R61" s="729">
        <f ca="1">R46+R52+R56</f>
        <v>204306.55380988636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0.16967950115308231</v>
      </c>
      <c r="D63" s="773">
        <f t="shared" ca="1" si="9"/>
        <v>3.2421154000481509E-4</v>
      </c>
      <c r="E63" s="1010">
        <f t="shared" ca="1" si="9"/>
        <v>0.20200000000000001</v>
      </c>
      <c r="F63" s="773">
        <f t="shared" si="9"/>
        <v>0.22700000000000004</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26487.481688010961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19863.936338733321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18117</v>
      </c>
      <c r="C76" s="739">
        <f>'lokale energieproductie'!B8*IFERROR(SUM(D76:H76)/SUM(D76:O76),0)</f>
        <v>24.75</v>
      </c>
      <c r="D76" s="1020">
        <f>'lokale energieproductie'!C8</f>
        <v>29.117647058823536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21314.117647058825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5.8817647058823548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64468.418026744286</v>
      </c>
      <c r="C78" s="744">
        <f>SUM(C72:C77)</f>
        <v>24.75</v>
      </c>
      <c r="D78" s="745">
        <f t="shared" ref="D78:H78" si="10">SUM(D76:D77)</f>
        <v>29.117647058823536</v>
      </c>
      <c r="E78" s="745">
        <f t="shared" si="10"/>
        <v>0</v>
      </c>
      <c r="F78" s="745">
        <f t="shared" si="10"/>
        <v>0</v>
      </c>
      <c r="G78" s="745">
        <f t="shared" si="10"/>
        <v>0</v>
      </c>
      <c r="H78" s="745">
        <f t="shared" si="10"/>
        <v>0</v>
      </c>
      <c r="I78" s="745">
        <f>SUM(I76:I77)</f>
        <v>0</v>
      </c>
      <c r="J78" s="745">
        <f>SUM(J76:J77)</f>
        <v>21314.117647058825</v>
      </c>
      <c r="K78" s="745">
        <f t="shared" ref="K78:L78" si="11">SUM(K76:K77)</f>
        <v>0</v>
      </c>
      <c r="L78" s="745">
        <f t="shared" si="11"/>
        <v>0</v>
      </c>
      <c r="M78" s="745">
        <f>SUM(M76:M77)</f>
        <v>0</v>
      </c>
      <c r="N78" s="745">
        <f>SUM(N76:N77)</f>
        <v>0</v>
      </c>
      <c r="O78" s="854">
        <f>SUM(O76:O77)</f>
        <v>0</v>
      </c>
      <c r="P78" s="746">
        <v>0</v>
      </c>
      <c r="Q78" s="746">
        <f>SUM(Q76:Q77)</f>
        <v>5.8817647058823548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25881.428571428572</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30448.739495798323</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8.4025210084033635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25881.428571428572</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30448.739495798323</v>
      </c>
      <c r="K90" s="744">
        <f t="shared" ref="K90:L90" si="13">SUM(K87:K89)</f>
        <v>0</v>
      </c>
      <c r="L90" s="744">
        <f t="shared" si="13"/>
        <v>0</v>
      </c>
      <c r="M90" s="744">
        <f>SUM(M87:M89)</f>
        <v>0</v>
      </c>
      <c r="N90" s="744">
        <f>SUM(N87:N89)</f>
        <v>0</v>
      </c>
      <c r="O90" s="744">
        <f>SUM(O87:O89)</f>
        <v>0</v>
      </c>
      <c r="P90" s="744">
        <v>0</v>
      </c>
      <c r="Q90" s="744">
        <f>SUM(Q87:Q89)</f>
        <v>8.4025210084033635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26487.481688010961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19863.936338733321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18141.75</v>
      </c>
      <c r="C8" s="558">
        <f>B101</f>
        <v>29.117647058823536</v>
      </c>
      <c r="D8" s="991"/>
      <c r="E8" s="991">
        <f>E101</f>
        <v>0</v>
      </c>
      <c r="F8" s="992"/>
      <c r="G8" s="559"/>
      <c r="H8" s="991">
        <f>I101</f>
        <v>0</v>
      </c>
      <c r="I8" s="991">
        <f>G101+F101</f>
        <v>0</v>
      </c>
      <c r="J8" s="991">
        <f>H101+D101+C101</f>
        <v>21314.117647058825</v>
      </c>
      <c r="K8" s="991"/>
      <c r="L8" s="991"/>
      <c r="M8" s="991"/>
      <c r="N8" s="560"/>
      <c r="O8" s="561">
        <f>C8*$C$12+D8*$D$12+E8*$E$12+F8*$F$12+G8*$G$12+H8*$H$12+I8*$I$12+J8*$J$12</f>
        <v>5.8817647058823548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64493.168026744286</v>
      </c>
      <c r="C10" s="570">
        <f t="shared" ref="C10:L10" si="0">SUM(C8:C9)</f>
        <v>29.117647058823536</v>
      </c>
      <c r="D10" s="570">
        <f t="shared" si="0"/>
        <v>0</v>
      </c>
      <c r="E10" s="570">
        <f t="shared" si="0"/>
        <v>0</v>
      </c>
      <c r="F10" s="570">
        <f t="shared" si="0"/>
        <v>0</v>
      </c>
      <c r="G10" s="570">
        <f t="shared" si="0"/>
        <v>0</v>
      </c>
      <c r="H10" s="570">
        <f t="shared" si="0"/>
        <v>0</v>
      </c>
      <c r="I10" s="570">
        <f t="shared" si="0"/>
        <v>0</v>
      </c>
      <c r="J10" s="570">
        <f t="shared" si="0"/>
        <v>21314.117647058825</v>
      </c>
      <c r="K10" s="570">
        <f t="shared" si="0"/>
        <v>0</v>
      </c>
      <c r="L10" s="570">
        <f t="shared" si="0"/>
        <v>0</v>
      </c>
      <c r="M10" s="995"/>
      <c r="N10" s="995"/>
      <c r="O10" s="571">
        <f>SUM(O4:O9)</f>
        <v>5.8817647058823548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25916.785714285714</v>
      </c>
      <c r="C17" s="582">
        <f>B102</f>
        <v>41.596638655462193</v>
      </c>
      <c r="D17" s="583"/>
      <c r="E17" s="583">
        <f>E102</f>
        <v>0</v>
      </c>
      <c r="F17" s="584"/>
      <c r="G17" s="585"/>
      <c r="H17" s="582">
        <f>I102</f>
        <v>0</v>
      </c>
      <c r="I17" s="583">
        <f>G102+F102</f>
        <v>0</v>
      </c>
      <c r="J17" s="583">
        <f>H102+D102+C102</f>
        <v>30448.739495798323</v>
      </c>
      <c r="K17" s="583"/>
      <c r="L17" s="583"/>
      <c r="M17" s="583"/>
      <c r="N17" s="998"/>
      <c r="O17" s="586">
        <f>C17*$C$22+E17*$E$22+H17*$H$22+I17*$I$22+J17*$J$22+D17*$D$22+F17*$F$22+G17*$G$22+K17*$K$22+L17*$L$22</f>
        <v>8.4025210084033635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25916.785714285714</v>
      </c>
      <c r="C20" s="569">
        <f>SUM(C17:C19)</f>
        <v>41.596638655462193</v>
      </c>
      <c r="D20" s="569">
        <f t="shared" ref="D20:L20" si="1">SUM(D17:D19)</f>
        <v>0</v>
      </c>
      <c r="E20" s="569">
        <f t="shared" si="1"/>
        <v>0</v>
      </c>
      <c r="F20" s="569">
        <f t="shared" si="1"/>
        <v>0</v>
      </c>
      <c r="G20" s="569">
        <f t="shared" si="1"/>
        <v>0</v>
      </c>
      <c r="H20" s="569">
        <f t="shared" si="1"/>
        <v>0</v>
      </c>
      <c r="I20" s="569">
        <f t="shared" si="1"/>
        <v>0</v>
      </c>
      <c r="J20" s="569">
        <f t="shared" si="1"/>
        <v>30448.739495798323</v>
      </c>
      <c r="K20" s="569">
        <f t="shared" si="1"/>
        <v>0</v>
      </c>
      <c r="L20" s="569">
        <f t="shared" si="1"/>
        <v>0</v>
      </c>
      <c r="M20" s="569"/>
      <c r="N20" s="569"/>
      <c r="O20" s="590">
        <f>SUM(O17:O19)</f>
        <v>8.4025210084033635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72020</v>
      </c>
      <c r="C28" s="789">
        <v>3920</v>
      </c>
      <c r="D28" s="642" t="s">
        <v>948</v>
      </c>
      <c r="E28" s="641" t="s">
        <v>949</v>
      </c>
      <c r="F28" s="641" t="s">
        <v>950</v>
      </c>
      <c r="G28" s="641" t="s">
        <v>951</v>
      </c>
      <c r="H28" s="641" t="s">
        <v>952</v>
      </c>
      <c r="I28" s="641" t="s">
        <v>949</v>
      </c>
      <c r="J28" s="788">
        <v>37630</v>
      </c>
      <c r="K28" s="788">
        <v>38657</v>
      </c>
      <c r="L28" s="641" t="s">
        <v>953</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63.75">
      <c r="A29" s="594"/>
      <c r="B29" s="789">
        <v>72020</v>
      </c>
      <c r="C29" s="789">
        <v>3920</v>
      </c>
      <c r="D29" s="642" t="s">
        <v>954</v>
      </c>
      <c r="E29" s="641" t="s">
        <v>955</v>
      </c>
      <c r="F29" s="641" t="s">
        <v>956</v>
      </c>
      <c r="G29" s="641" t="s">
        <v>951</v>
      </c>
      <c r="H29" s="641" t="s">
        <v>952</v>
      </c>
      <c r="I29" s="641" t="s">
        <v>957</v>
      </c>
      <c r="J29" s="788">
        <v>39873</v>
      </c>
      <c r="K29" s="788">
        <v>39873</v>
      </c>
      <c r="L29" s="641" t="s">
        <v>953</v>
      </c>
      <c r="M29" s="641">
        <v>4026</v>
      </c>
      <c r="N29" s="641">
        <v>18117</v>
      </c>
      <c r="O29" s="641">
        <v>25881.428571428572</v>
      </c>
      <c r="P29" s="641">
        <v>0</v>
      </c>
      <c r="Q29" s="641">
        <v>51762.857142857145</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4031.5</v>
      </c>
      <c r="N58" s="599">
        <f>SUM(N28:N57)</f>
        <v>18141.75</v>
      </c>
      <c r="O58" s="599">
        <f t="shared" ref="O58:W58" si="2">SUM(O28:O57)</f>
        <v>25916.785714285714</v>
      </c>
      <c r="P58" s="599">
        <f t="shared" si="2"/>
        <v>70.714285714285722</v>
      </c>
      <c r="Q58" s="599">
        <f t="shared" si="2"/>
        <v>51762.857142857145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4031.5</v>
      </c>
      <c r="N60" s="599">
        <f ca="1">SUMIF($Z$28:AD57,"tertiair",N28:N57)</f>
        <v>18141.75</v>
      </c>
      <c r="O60" s="599">
        <f ca="1">SUMIF($Z$28:AE57,"tertiair",O28:O57)</f>
        <v>25916.785714285714</v>
      </c>
      <c r="P60" s="599">
        <f ca="1">SUMIF($Z$28:AF57,"tertiair",P28:P57)</f>
        <v>70.714285714285722</v>
      </c>
      <c r="Q60" s="599">
        <f ca="1">SUMIF($Z$28:AG57,"tertiair",Q28:Q57)</f>
        <v>51762.857142857145</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29.117647058823536</v>
      </c>
      <c r="C101" s="633">
        <f t="shared" si="9"/>
        <v>21314.117647058825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41.596638655462193</v>
      </c>
      <c r="C102" s="636">
        <f t="shared" si="10"/>
        <v>30448.739495798323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66095.050763477848</v>
      </c>
      <c r="C4" s="461">
        <f>huishoudens!C8</f>
        <v>0</v>
      </c>
      <c r="D4" s="461">
        <f>huishoudens!D8</f>
        <v>119793.20837000001</v>
      </c>
      <c r="E4" s="461">
        <f>huishoudens!E8</f>
        <v>9365.3253495032404</v>
      </c>
      <c r="F4" s="461">
        <f>huishoudens!F8</f>
        <v>62151.025685922352</v>
      </c>
      <c r="G4" s="461">
        <f>huishoudens!G8</f>
        <v>0</v>
      </c>
      <c r="H4" s="461">
        <f>huishoudens!H8</f>
        <v>0</v>
      </c>
      <c r="I4" s="461">
        <f>huishoudens!I8</f>
        <v>0</v>
      </c>
      <c r="J4" s="461">
        <f>huishoudens!J8</f>
        <v>0</v>
      </c>
      <c r="K4" s="461">
        <f>huishoudens!K8</f>
        <v>0</v>
      </c>
      <c r="L4" s="461">
        <f>huishoudens!L8</f>
        <v>0</v>
      </c>
      <c r="M4" s="461">
        <f>huishoudens!M8</f>
        <v>0</v>
      </c>
      <c r="N4" s="461">
        <f>huishoudens!N8</f>
        <v>33179.227070934365</v>
      </c>
      <c r="O4" s="461">
        <f>huishoudens!O8</f>
        <v>229.81</v>
      </c>
      <c r="P4" s="462">
        <f>huishoudens!P8</f>
        <v>667.33333333333337</v>
      </c>
      <c r="Q4" s="463">
        <f>SUM(B4:P4)</f>
        <v>291480.98057317117</v>
      </c>
    </row>
    <row r="5" spans="1:17">
      <c r="A5" s="460" t="s">
        <v>156</v>
      </c>
      <c r="B5" s="461">
        <f ca="1">tertiair!B16</f>
        <v>86263.963000000003</v>
      </c>
      <c r="C5" s="461">
        <f ca="1">tertiair!C16</f>
        <v>25916.785714285714</v>
      </c>
      <c r="D5" s="461">
        <f ca="1">tertiair!D16</f>
        <v>68366.553118285694</v>
      </c>
      <c r="E5" s="461">
        <f>tertiair!E16</f>
        <v>947.54774332168654</v>
      </c>
      <c r="F5" s="461">
        <f ca="1">tertiair!F16</f>
        <v>15156.754502048876</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196651.60407794197</v>
      </c>
    </row>
    <row r="6" spans="1:17">
      <c r="A6" s="460" t="s">
        <v>194</v>
      </c>
      <c r="B6" s="461">
        <f>'openbare verlichting'!B8</f>
        <v>1997.45</v>
      </c>
      <c r="C6" s="461"/>
      <c r="D6" s="461"/>
      <c r="E6" s="461"/>
      <c r="F6" s="461"/>
      <c r="G6" s="461"/>
      <c r="H6" s="461"/>
      <c r="I6" s="461"/>
      <c r="J6" s="461"/>
      <c r="K6" s="461"/>
      <c r="L6" s="461"/>
      <c r="M6" s="461"/>
      <c r="N6" s="461"/>
      <c r="O6" s="461"/>
      <c r="P6" s="462"/>
      <c r="Q6" s="460">
        <f t="shared" si="0"/>
        <v>1997.45</v>
      </c>
    </row>
    <row r="7" spans="1:17">
      <c r="A7" s="460" t="s">
        <v>112</v>
      </c>
      <c r="B7" s="461">
        <f>landbouw!B8</f>
        <v>597.923</v>
      </c>
      <c r="C7" s="461">
        <f>landbouw!C8</f>
        <v>0</v>
      </c>
      <c r="D7" s="461">
        <f>landbouw!D8</f>
        <v>318.949906</v>
      </c>
      <c r="E7" s="461">
        <f>landbouw!E8</f>
        <v>5.6328352815516283</v>
      </c>
      <c r="F7" s="461">
        <f>landbouw!F8</f>
        <v>1951.2211822166478</v>
      </c>
      <c r="G7" s="461">
        <f>landbouw!G8</f>
        <v>0</v>
      </c>
      <c r="H7" s="461">
        <f>landbouw!H8</f>
        <v>0</v>
      </c>
      <c r="I7" s="461">
        <f>landbouw!I8</f>
        <v>0</v>
      </c>
      <c r="J7" s="461">
        <f>landbouw!J8</f>
        <v>73.965983396913344</v>
      </c>
      <c r="K7" s="461">
        <f>landbouw!K8</f>
        <v>0</v>
      </c>
      <c r="L7" s="461">
        <f>landbouw!L8</f>
        <v>0</v>
      </c>
      <c r="M7" s="461">
        <f>landbouw!M8</f>
        <v>0</v>
      </c>
      <c r="N7" s="461">
        <f>landbouw!N8</f>
        <v>0</v>
      </c>
      <c r="O7" s="461">
        <f>landbouw!O8</f>
        <v>0</v>
      </c>
      <c r="P7" s="462">
        <f>landbouw!P8</f>
        <v>0</v>
      </c>
      <c r="Q7" s="460">
        <f t="shared" si="0"/>
        <v>2947.6929068951131</v>
      </c>
    </row>
    <row r="8" spans="1:17">
      <c r="A8" s="460" t="s">
        <v>685</v>
      </c>
      <c r="B8" s="461">
        <f>industrie!B18</f>
        <v>121628.29399999999</v>
      </c>
      <c r="C8" s="461">
        <f>industrie!C18</f>
        <v>0</v>
      </c>
      <c r="D8" s="461">
        <f>industrie!D18</f>
        <v>239687.87460200003</v>
      </c>
      <c r="E8" s="461">
        <f>industrie!E18</f>
        <v>1136.7317066382245</v>
      </c>
      <c r="F8" s="461">
        <f>industrie!F18</f>
        <v>28242.927456979014</v>
      </c>
      <c r="G8" s="461">
        <f>industrie!G18</f>
        <v>0</v>
      </c>
      <c r="H8" s="461">
        <f>industrie!H18</f>
        <v>0</v>
      </c>
      <c r="I8" s="461">
        <f>industrie!I18</f>
        <v>0</v>
      </c>
      <c r="J8" s="461">
        <f>industrie!J18</f>
        <v>718.36879059221963</v>
      </c>
      <c r="K8" s="461">
        <f>industrie!K18</f>
        <v>0</v>
      </c>
      <c r="L8" s="461">
        <f>industrie!L18</f>
        <v>0</v>
      </c>
      <c r="M8" s="461">
        <f>industrie!M18</f>
        <v>0</v>
      </c>
      <c r="N8" s="461">
        <f>industrie!N18</f>
        <v>3221.7317243952675</v>
      </c>
      <c r="O8" s="461">
        <f>industrie!O18</f>
        <v>0</v>
      </c>
      <c r="P8" s="462">
        <f>industrie!P18</f>
        <v>0</v>
      </c>
      <c r="Q8" s="460">
        <f t="shared" si="0"/>
        <v>394635.92828060471</v>
      </c>
    </row>
    <row r="9" spans="1:17" s="466" customFormat="1">
      <c r="A9" s="464" t="s">
        <v>579</v>
      </c>
      <c r="B9" s="465">
        <f>transport!B14</f>
        <v>3.946219995104101</v>
      </c>
      <c r="C9" s="465">
        <f>transport!C14</f>
        <v>0</v>
      </c>
      <c r="D9" s="465">
        <f>transport!D14</f>
        <v>11.271907153291504</v>
      </c>
      <c r="E9" s="465">
        <f>transport!E14</f>
        <v>650.05345197167333</v>
      </c>
      <c r="F9" s="465">
        <f>transport!F14</f>
        <v>0</v>
      </c>
      <c r="G9" s="465">
        <f>transport!G14</f>
        <v>115400.50013465814</v>
      </c>
      <c r="H9" s="465">
        <f>transport!H14</f>
        <v>24970.260547637339</v>
      </c>
      <c r="I9" s="465">
        <f>transport!I14</f>
        <v>0</v>
      </c>
      <c r="J9" s="465">
        <f>transport!J14</f>
        <v>0</v>
      </c>
      <c r="K9" s="465">
        <f>transport!K14</f>
        <v>0</v>
      </c>
      <c r="L9" s="465">
        <f>transport!L14</f>
        <v>0</v>
      </c>
      <c r="M9" s="465">
        <f>transport!M14</f>
        <v>6281.0189882485374</v>
      </c>
      <c r="N9" s="465">
        <f>transport!N14</f>
        <v>0</v>
      </c>
      <c r="O9" s="465">
        <f>transport!O14</f>
        <v>0</v>
      </c>
      <c r="P9" s="465">
        <f>transport!P14</f>
        <v>0</v>
      </c>
      <c r="Q9" s="464">
        <f>SUM(B9:P9)</f>
        <v>147317.0512496641</v>
      </c>
    </row>
    <row r="10" spans="1:17">
      <c r="A10" s="460" t="s">
        <v>569</v>
      </c>
      <c r="B10" s="461">
        <f>transport!B54</f>
        <v>0</v>
      </c>
      <c r="C10" s="461">
        <f>transport!C54</f>
        <v>0</v>
      </c>
      <c r="D10" s="461">
        <f>transport!D54</f>
        <v>0</v>
      </c>
      <c r="E10" s="461">
        <f>transport!E54</f>
        <v>0</v>
      </c>
      <c r="F10" s="461">
        <f>transport!F54</f>
        <v>0</v>
      </c>
      <c r="G10" s="461">
        <f>transport!G54</f>
        <v>2454.5956044740551</v>
      </c>
      <c r="H10" s="461">
        <f>transport!H54</f>
        <v>0</v>
      </c>
      <c r="I10" s="461">
        <f>transport!I54</f>
        <v>0</v>
      </c>
      <c r="J10" s="461">
        <f>transport!J54</f>
        <v>0</v>
      </c>
      <c r="K10" s="461">
        <f>transport!K54</f>
        <v>0</v>
      </c>
      <c r="L10" s="461">
        <f>transport!L54</f>
        <v>0</v>
      </c>
      <c r="M10" s="461">
        <f>transport!M54</f>
        <v>107.7853421011815</v>
      </c>
      <c r="N10" s="461">
        <f>transport!N54</f>
        <v>0</v>
      </c>
      <c r="O10" s="461">
        <f>transport!O54</f>
        <v>0</v>
      </c>
      <c r="P10" s="462">
        <f>transport!P54</f>
        <v>0</v>
      </c>
      <c r="Q10" s="460">
        <f t="shared" si="0"/>
        <v>2562.3809465752365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1023.854</v>
      </c>
      <c r="C14" s="468"/>
      <c r="D14" s="468">
        <f>'SEAP template'!E25</f>
        <v>6361.9210000000003</v>
      </c>
      <c r="E14" s="468"/>
      <c r="F14" s="468"/>
      <c r="G14" s="468"/>
      <c r="H14" s="468"/>
      <c r="I14" s="468"/>
      <c r="J14" s="468"/>
      <c r="K14" s="468"/>
      <c r="L14" s="468"/>
      <c r="M14" s="468"/>
      <c r="N14" s="468"/>
      <c r="O14" s="468"/>
      <c r="P14" s="469"/>
      <c r="Q14" s="460">
        <f t="shared" si="0"/>
        <v>7385.7750000000005</v>
      </c>
    </row>
    <row r="15" spans="1:17" s="473" customFormat="1">
      <c r="A15" s="470" t="s">
        <v>573</v>
      </c>
      <c r="B15" s="471">
        <f ca="1">SUM(B4:B14)</f>
        <v>277610.48098347295</v>
      </c>
      <c r="C15" s="471">
        <f t="shared" ref="C15:Q15" ca="1" si="1">SUM(C4:C14)</f>
        <v>25916.785714285714</v>
      </c>
      <c r="D15" s="471">
        <f t="shared" ca="1" si="1"/>
        <v>434539.778903439</v>
      </c>
      <c r="E15" s="471">
        <f t="shared" si="1"/>
        <v>12105.291086716376</v>
      </c>
      <c r="F15" s="471">
        <f t="shared" ca="1" si="1"/>
        <v>107501.92882716688</v>
      </c>
      <c r="G15" s="471">
        <f t="shared" si="1"/>
        <v>117855.0957391322</v>
      </c>
      <c r="H15" s="471">
        <f t="shared" si="1"/>
        <v>24970.260547637339</v>
      </c>
      <c r="I15" s="471">
        <f t="shared" si="1"/>
        <v>0</v>
      </c>
      <c r="J15" s="471">
        <f t="shared" si="1"/>
        <v>792.33477398913294</v>
      </c>
      <c r="K15" s="471">
        <f t="shared" si="1"/>
        <v>0</v>
      </c>
      <c r="L15" s="471">
        <f t="shared" ca="1" si="1"/>
        <v>0</v>
      </c>
      <c r="M15" s="471">
        <f t="shared" si="1"/>
        <v>6388.8043303497188</v>
      </c>
      <c r="N15" s="471">
        <f t="shared" ca="1" si="1"/>
        <v>36400.958795329629</v>
      </c>
      <c r="O15" s="471">
        <f t="shared" si="1"/>
        <v>229.81</v>
      </c>
      <c r="P15" s="471">
        <f t="shared" si="1"/>
        <v>667.33333333333337</v>
      </c>
      <c r="Q15" s="471">
        <f t="shared" ca="1" si="1"/>
        <v>1044978.8630348522</v>
      </c>
    </row>
    <row r="17" spans="1:17">
      <c r="A17" s="474" t="s">
        <v>574</v>
      </c>
      <c r="B17" s="778">
        <f ca="1">huishoudens!B10</f>
        <v>0.16967950115308228</v>
      </c>
      <c r="C17" s="778">
        <f ca="1">huishoudens!C10</f>
        <v>3.2421154000481509E-4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11214.975242234572</v>
      </c>
      <c r="C22" s="461">
        <f t="shared" ref="C22:C32" ca="1" si="3">C4*$C$17</f>
        <v>0</v>
      </c>
      <c r="D22" s="461">
        <f t="shared" ref="D22:D32" si="4">D4*$D$17</f>
        <v>24198.228090740002</v>
      </c>
      <c r="E22" s="461">
        <f t="shared" ref="E22:E32" si="5">E4*$E$17</f>
        <v>2125.9288543372359</v>
      </c>
      <c r="F22" s="461">
        <f t="shared" ref="F22:F32" si="6">F4*$F$17</f>
        <v>16594.32385814127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54133.456045453087</v>
      </c>
    </row>
    <row r="23" spans="1:17">
      <c r="A23" s="460" t="s">
        <v>156</v>
      </c>
      <c r="B23" s="461">
        <f t="shared" ca="1" si="2"/>
        <v>14637.226209327948</v>
      </c>
      <c r="C23" s="461">
        <f t="shared" ca="1" si="3"/>
        <v>8.4025210084033635</v>
      </c>
      <c r="D23" s="461">
        <f t="shared" ca="1" si="4"/>
        <v>13810.04372989371</v>
      </c>
      <c r="E23" s="461">
        <f t="shared" si="5"/>
        <v>215.09333773402284</v>
      </c>
      <c r="F23" s="461">
        <f t="shared" ca="1" si="6"/>
        <v>4046.8534520470503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32717.619250011132</v>
      </c>
    </row>
    <row r="24" spans="1:17">
      <c r="A24" s="460" t="s">
        <v>194</v>
      </c>
      <c r="B24" s="461">
        <f t="shared" ca="1" si="2"/>
        <v>338.9263195782242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338.9263195782242</v>
      </c>
    </row>
    <row r="25" spans="1:17">
      <c r="A25" s="460" t="s">
        <v>112</v>
      </c>
      <c r="B25" s="461">
        <f t="shared" ca="1" si="2"/>
        <v>101.45527636795441</v>
      </c>
      <c r="C25" s="461">
        <f t="shared" ca="1" si="3"/>
        <v>0</v>
      </c>
      <c r="D25" s="461">
        <f t="shared" si="4"/>
        <v>64.427881012</v>
      </c>
      <c r="E25" s="461">
        <f t="shared" si="5"/>
        <v>1.2786536089122196</v>
      </c>
      <c r="F25" s="461">
        <f t="shared" si="6"/>
        <v>520.97605565184494</v>
      </c>
      <c r="G25" s="461">
        <f t="shared" si="7"/>
        <v>0</v>
      </c>
      <c r="H25" s="461">
        <f t="shared" si="8"/>
        <v>0</v>
      </c>
      <c r="I25" s="461">
        <f t="shared" si="9"/>
        <v>0</v>
      </c>
      <c r="J25" s="461">
        <f t="shared" si="10"/>
        <v>26.183958122507324</v>
      </c>
      <c r="K25" s="461">
        <f t="shared" si="11"/>
        <v>0</v>
      </c>
      <c r="L25" s="461">
        <f t="shared" si="12"/>
        <v>0</v>
      </c>
      <c r="M25" s="461">
        <f t="shared" si="13"/>
        <v>0</v>
      </c>
      <c r="N25" s="461">
        <f t="shared" si="14"/>
        <v>0</v>
      </c>
      <c r="O25" s="461">
        <f t="shared" si="15"/>
        <v>0</v>
      </c>
      <c r="P25" s="462">
        <f t="shared" si="16"/>
        <v>0</v>
      </c>
      <c r="Q25" s="460">
        <f t="shared" ca="1" si="17"/>
        <v>714.32182476321884</v>
      </c>
    </row>
    <row r="26" spans="1:17">
      <c r="A26" s="460" t="s">
        <v>685</v>
      </c>
      <c r="B26" s="461">
        <f t="shared" ca="1" si="2"/>
        <v>20637.82825202043</v>
      </c>
      <c r="C26" s="461">
        <f t="shared" ca="1" si="3"/>
        <v>0</v>
      </c>
      <c r="D26" s="461">
        <f t="shared" si="4"/>
        <v>48416.950669604012</v>
      </c>
      <c r="E26" s="461">
        <f t="shared" si="5"/>
        <v>258.038097406877</v>
      </c>
      <c r="F26" s="461">
        <f t="shared" si="6"/>
        <v>7540.8616310133975</v>
      </c>
      <c r="G26" s="461">
        <f t="shared" si="7"/>
        <v>0</v>
      </c>
      <c r="H26" s="461">
        <f t="shared" si="8"/>
        <v>0</v>
      </c>
      <c r="I26" s="461">
        <f t="shared" si="9"/>
        <v>0</v>
      </c>
      <c r="J26" s="461">
        <f t="shared" si="10"/>
        <v>254.30255186964573</v>
      </c>
      <c r="K26" s="461">
        <f t="shared" si="11"/>
        <v>0</v>
      </c>
      <c r="L26" s="461">
        <f t="shared" si="12"/>
        <v>0</v>
      </c>
      <c r="M26" s="461">
        <f t="shared" si="13"/>
        <v>0</v>
      </c>
      <c r="N26" s="461">
        <f t="shared" si="14"/>
        <v>0</v>
      </c>
      <c r="O26" s="461">
        <f t="shared" si="15"/>
        <v>0</v>
      </c>
      <c r="P26" s="462">
        <f t="shared" si="16"/>
        <v>0</v>
      </c>
      <c r="Q26" s="460">
        <f t="shared" ca="1" si="17"/>
        <v>77107.981201914372</v>
      </c>
    </row>
    <row r="27" spans="1:17" s="466" customFormat="1">
      <c r="A27" s="464" t="s">
        <v>579</v>
      </c>
      <c r="B27" s="772">
        <f t="shared" ca="1" si="2"/>
        <v>0.66959264020958265</v>
      </c>
      <c r="C27" s="465">
        <f t="shared" ca="1" si="3"/>
        <v>0</v>
      </c>
      <c r="D27" s="465">
        <f t="shared" si="4"/>
        <v>2.2769252449648842</v>
      </c>
      <c r="E27" s="465">
        <f t="shared" si="5"/>
        <v>147.56213359756984</v>
      </c>
      <c r="F27" s="465">
        <f t="shared" si="6"/>
        <v>0</v>
      </c>
      <c r="G27" s="465">
        <f t="shared" si="7"/>
        <v>30811.933535953725</v>
      </c>
      <c r="H27" s="465">
        <f t="shared" si="8"/>
        <v>6217.5948763616971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37180.037063798169</v>
      </c>
    </row>
    <row r="28" spans="1:17">
      <c r="A28" s="460" t="s">
        <v>569</v>
      </c>
      <c r="B28" s="461">
        <f t="shared" ca="1" si="2"/>
        <v>0</v>
      </c>
      <c r="C28" s="461">
        <f t="shared" ca="1" si="3"/>
        <v>0</v>
      </c>
      <c r="D28" s="461">
        <f t="shared" si="4"/>
        <v>0</v>
      </c>
      <c r="E28" s="461">
        <f t="shared" si="5"/>
        <v>0</v>
      </c>
      <c r="F28" s="461">
        <f t="shared" si="6"/>
        <v>0</v>
      </c>
      <c r="G28" s="461">
        <f t="shared" si="7"/>
        <v>655.37702639457279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655.37702639457279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173.7270359735879</v>
      </c>
      <c r="C32" s="461">
        <f t="shared" ca="1" si="3"/>
        <v>0</v>
      </c>
      <c r="D32" s="461">
        <f t="shared" si="4"/>
        <v>1285.1080420000001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1458.8350779735879</v>
      </c>
    </row>
    <row r="33" spans="1:17" s="473" customFormat="1">
      <c r="A33" s="470" t="s">
        <v>573</v>
      </c>
      <c r="B33" s="471">
        <f ca="1">SUM(B22:B32)</f>
        <v>47104.807928142924</v>
      </c>
      <c r="C33" s="471">
        <f t="shared" ref="C33:Q33" ca="1" si="18">SUM(C22:C32)</f>
        <v>8.4025210084033635</v>
      </c>
      <c r="D33" s="471">
        <f t="shared" ca="1" si="18"/>
        <v>87777.035338494708</v>
      </c>
      <c r="E33" s="471">
        <f t="shared" si="18"/>
        <v>2747.9010766846177</v>
      </c>
      <c r="F33" s="471">
        <f t="shared" ca="1" si="18"/>
        <v>28703.014996853562</v>
      </c>
      <c r="G33" s="471">
        <f t="shared" si="18"/>
        <v>31467.310562348299</v>
      </c>
      <c r="H33" s="471">
        <f t="shared" si="18"/>
        <v>6217.5948763616971</v>
      </c>
      <c r="I33" s="471">
        <f t="shared" si="18"/>
        <v>0</v>
      </c>
      <c r="J33" s="471">
        <f t="shared" si="18"/>
        <v>280.48650999215306</v>
      </c>
      <c r="K33" s="471">
        <f t="shared" si="18"/>
        <v>0</v>
      </c>
      <c r="L33" s="471">
        <f t="shared" ca="1" si="18"/>
        <v>0</v>
      </c>
      <c r="M33" s="471">
        <f t="shared" si="18"/>
        <v>0</v>
      </c>
      <c r="N33" s="471">
        <f t="shared" ca="1" si="18"/>
        <v>0</v>
      </c>
      <c r="O33" s="471">
        <f t="shared" si="18"/>
        <v>0</v>
      </c>
      <c r="P33" s="471">
        <f t="shared" si="18"/>
        <v>0</v>
      </c>
      <c r="Q33" s="471">
        <f t="shared" ca="1" si="18"/>
        <v>204306.55380988633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26487.481688010961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19863.936338733321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18117</v>
      </c>
      <c r="C8" s="1037">
        <f>'SEAP template'!C76</f>
        <v>24.75</v>
      </c>
      <c r="D8" s="1037">
        <f>'SEAP template'!D76</f>
        <v>29.117647058823536</v>
      </c>
      <c r="E8" s="1037">
        <f>'SEAP template'!E76</f>
        <v>0</v>
      </c>
      <c r="F8" s="1037">
        <f>'SEAP template'!F76</f>
        <v>0</v>
      </c>
      <c r="G8" s="1037">
        <f>'SEAP template'!G76</f>
        <v>0</v>
      </c>
      <c r="H8" s="1037">
        <f>'SEAP template'!H76</f>
        <v>0</v>
      </c>
      <c r="I8" s="1037">
        <f>'SEAP template'!I76</f>
        <v>0</v>
      </c>
      <c r="J8" s="1037">
        <f>'SEAP template'!J76</f>
        <v>21314.117647058825</v>
      </c>
      <c r="K8" s="1037">
        <f>'SEAP template'!K76</f>
        <v>0</v>
      </c>
      <c r="L8" s="1037">
        <f>'SEAP template'!L76</f>
        <v>0</v>
      </c>
      <c r="M8" s="1037">
        <f>'SEAP template'!M76</f>
        <v>0</v>
      </c>
      <c r="N8" s="1037">
        <f>'SEAP template'!N76</f>
        <v>0</v>
      </c>
      <c r="O8" s="1037">
        <f>'SEAP template'!O76</f>
        <v>0</v>
      </c>
      <c r="P8" s="1038">
        <f>'SEAP template'!Q76</f>
        <v>5.8817647058823548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64468.418026744286</v>
      </c>
      <c r="C10" s="1041">
        <f>SUM(C4:C9)</f>
        <v>24.75</v>
      </c>
      <c r="D10" s="1041">
        <f t="shared" ref="D10:H10" si="0">SUM(D8:D9)</f>
        <v>29.117647058823536</v>
      </c>
      <c r="E10" s="1041">
        <f t="shared" si="0"/>
        <v>0</v>
      </c>
      <c r="F10" s="1041">
        <f t="shared" si="0"/>
        <v>0</v>
      </c>
      <c r="G10" s="1041">
        <f t="shared" si="0"/>
        <v>0</v>
      </c>
      <c r="H10" s="1041">
        <f t="shared" si="0"/>
        <v>0</v>
      </c>
      <c r="I10" s="1041">
        <f>SUM(I8:I9)</f>
        <v>0</v>
      </c>
      <c r="J10" s="1041">
        <f>SUM(J8:J9)</f>
        <v>21314.117647058825</v>
      </c>
      <c r="K10" s="1041">
        <f t="shared" ref="K10:L10" si="1">SUM(K8:K9)</f>
        <v>0</v>
      </c>
      <c r="L10" s="1041">
        <f t="shared" si="1"/>
        <v>0</v>
      </c>
      <c r="M10" s="1041">
        <f>SUM(M8:M9)</f>
        <v>0</v>
      </c>
      <c r="N10" s="1041">
        <f>SUM(N8:N9)</f>
        <v>0</v>
      </c>
      <c r="O10" s="1041">
        <f>SUM(O8:O9)</f>
        <v>0</v>
      </c>
      <c r="P10" s="1041">
        <f>SUM(P8:P9)</f>
        <v>5.8817647058823548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0.16967950115308228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25881.428571428572</v>
      </c>
      <c r="C17" s="1044">
        <f>'SEAP template'!C87</f>
        <v>35.357142857142861</v>
      </c>
      <c r="D17" s="1038">
        <f>'SEAP template'!D87</f>
        <v>41.596638655462193</v>
      </c>
      <c r="E17" s="1038">
        <f>'SEAP template'!E87</f>
        <v>0</v>
      </c>
      <c r="F17" s="1038">
        <f>'SEAP template'!F87</f>
        <v>0</v>
      </c>
      <c r="G17" s="1038">
        <f>'SEAP template'!G87</f>
        <v>0</v>
      </c>
      <c r="H17" s="1038">
        <f>'SEAP template'!H87</f>
        <v>0</v>
      </c>
      <c r="I17" s="1038">
        <f>'SEAP template'!I87</f>
        <v>0</v>
      </c>
      <c r="J17" s="1038">
        <f>'SEAP template'!J87</f>
        <v>30448.739495798323</v>
      </c>
      <c r="K17" s="1038">
        <f>'SEAP template'!K87</f>
        <v>0</v>
      </c>
      <c r="L17" s="1038">
        <f>'SEAP template'!L87</f>
        <v>0</v>
      </c>
      <c r="M17" s="1038">
        <f>'SEAP template'!M87</f>
        <v>0</v>
      </c>
      <c r="N17" s="1038">
        <f>'SEAP template'!N87</f>
        <v>0</v>
      </c>
      <c r="O17" s="1038">
        <f>'SEAP template'!O87</f>
        <v>0</v>
      </c>
      <c r="P17" s="1038">
        <f>'SEAP template'!Q87</f>
        <v>8.4025210084033635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25881.428571428572</v>
      </c>
      <c r="C20" s="1041">
        <f>SUM(C17:C19)</f>
        <v>35.357142857142861</v>
      </c>
      <c r="D20" s="1041">
        <f t="shared" ref="D20:H20" si="2">SUM(D17:D19)</f>
        <v>41.596638655462193</v>
      </c>
      <c r="E20" s="1041">
        <f t="shared" si="2"/>
        <v>0</v>
      </c>
      <c r="F20" s="1041">
        <f t="shared" si="2"/>
        <v>0</v>
      </c>
      <c r="G20" s="1041">
        <f t="shared" si="2"/>
        <v>0</v>
      </c>
      <c r="H20" s="1041">
        <f t="shared" si="2"/>
        <v>0</v>
      </c>
      <c r="I20" s="1041">
        <f>SUM(I17:I19)</f>
        <v>0</v>
      </c>
      <c r="J20" s="1041">
        <f>SUM(J17:J19)</f>
        <v>30448.739495798323</v>
      </c>
      <c r="K20" s="1041">
        <f t="shared" ref="K20:L20" si="3">SUM(K17:K19)</f>
        <v>0</v>
      </c>
      <c r="L20" s="1041">
        <f t="shared" si="3"/>
        <v>0</v>
      </c>
      <c r="M20" s="1041">
        <f>SUM(M17:M19)</f>
        <v>0</v>
      </c>
      <c r="N20" s="1041">
        <f>SUM(N17:N19)</f>
        <v>0</v>
      </c>
      <c r="O20" s="1041">
        <f>SUM(O17:O19)</f>
        <v>0</v>
      </c>
      <c r="P20" s="1041">
        <f>SUM(P17:P19)</f>
        <v>8.4025210084033635</v>
      </c>
    </row>
    <row r="22" spans="1:16">
      <c r="A22" s="474" t="s">
        <v>932</v>
      </c>
      <c r="B22" s="778" t="s">
        <v>926</v>
      </c>
      <c r="C22" s="778">
        <f ca="1">'EF ele_warmte'!B22</f>
        <v>3.2421154000481509E-4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0.16967950115308228</v>
      </c>
      <c r="C17" s="510">
        <f ca="1">'EF ele_warmte'!B22</f>
        <v>3.2421154000481509E-4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2019-08-12T07:56:28Z</dcterms:modified>
</cp:coreProperties>
</file>