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Q78" i="14"/>
  <c r="B9" i="6" s="1"/>
  <c r="P9" i="56"/>
  <c r="P10" s="1"/>
  <c r="J8"/>
  <c r="J10" s="1"/>
  <c r="J78" i="14"/>
  <c r="P20" i="56"/>
  <c r="D20"/>
  <c r="Q90" i="14"/>
  <c r="B17" i="6" s="1"/>
  <c r="B4"/>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<sst xmlns="http://schemas.openxmlformats.org/spreadsheetml/2006/main" count="2495" uniqueCount="955">
  <si>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</si>
  <si>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</si>
  <si>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</si>
  <si>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</si>
  <si>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</si>
  <si>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</si>
  <si>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</si>
  <si>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</si>
  <si>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</si>
  <si>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</si>
  <si>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</si>
  <si>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</si>
  <si>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</si>
  <si>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</si>
  <si>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</si>
  <si>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</si>
  <si>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</si>
  <si>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</si>
  <si>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</si>
  <si>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</si>
  <si>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</si>
  <si>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</si>
  <si>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</si>
  <si>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</si>
  <si>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</si>
  <si>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</si>
  <si>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</si>
  <si>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</si>
  <si>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</si>
  <si>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</si>
  <si>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</si>
  <si>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</si>
  <si>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</si>
  <si>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</si>
  <si>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</si>
  <si>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</si>
  <si>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</si>
  <si>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</si>
  <si>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</si>
  <si>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</si>
  <si>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</si>
  <si>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</si>
  <si>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</si>
  <si>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</si>
  <si>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</si>
  <si>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</si>
  <si>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</si>
  <si>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</si>
  <si>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</si>
  <si>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</si>
  <si>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</si>
  <si>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</si>
  <si>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</si>
  <si>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</si>
  <si>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</si>
  <si>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</si>
  <si>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</si>
  <si>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</si>
  <si>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</si>
  <si>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</si>
  <si>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</si>
  <si>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</si>
  <si>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</si>
  <si>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</si>
  <si>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</si>
  <si>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</si>
  <si>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</si>
  <si>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</si>
  <si>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</si>
  <si>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</si>
  <si>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</si>
  <si>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</si>
  <si>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</si>
  <si>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</si>
  <si>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</si>
  <si>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</si>
  <si>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</si>
  <si>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</si>
  <si>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</si>
  <si>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</si>
  <si>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</si>
  <si>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</si>
  <si>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</si>
  <si>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</si>
  <si>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</si>
  <si>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</si>
  <si>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</si>
  <si>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</si>
  <si>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</si>
  <si>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</si>
  <si>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</si>
  <si>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</si>
  <si>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</si>
  <si>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</si>
  <si>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</si>
  <si>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</si>
  <si>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</si>
  <si>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</si>
  <si>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</si>
  <si>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</si>
  <si>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</si>
  <si>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</si>
  <si>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</si>
  <si>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</si>
  <si>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</si>
  <si>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</si>
  <si>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</si>
  <si>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</si>
  <si>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</si>
  <si>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</si>
  <si>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</si>
  <si>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</si>
  <si>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</si>
  <si>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</si>
  <si>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</si>
  <si>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</si>
  <si>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</si>
  <si>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</si>
  <si>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</si>
  <si>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</si>
  <si>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</si>
  <si>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</si>
  <si>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</si>
  <si>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</si>
  <si>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</si>
  <si>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</si>
  <si>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</si>
  <si>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</si>
  <si>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</si>
  <si>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</si>
  <si>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</si>
  <si>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</si>
  <si>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</si>
  <si>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</si>
  <si>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</si>
  <si>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</si>
  <si>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</si>
  <si>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</si>
  <si>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</si>
  <si>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</si>
  <si>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</si>
  <si>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</si>
  <si>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</si>
  <si>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</si>
  <si>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</si>
  <si>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</si>
  <si>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</si>
  <si>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</si>
  <si>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</si>
  <si>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</si>
  <si>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</si>
  <si>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</si>
  <si>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</si>
  <si>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</si>
  <si>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</si>
  <si>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</si>
  <si>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</si>
  <si>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</si>
  <si>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</si>
  <si>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</si>
  <si>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</si>
  <si>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</si>
  <si>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</si>
  <si>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</si>
  <si>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</si>
  <si>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</si>
  <si>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</si>
  <si>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</si>
  <si>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</si>
  <si>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</si>
  <si>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</si>
  <si>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</si>
  <si>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</si>
  <si>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</si>
  <si>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</si>
  <si>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</si>
  <si>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</si>
  <si>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</si>
  <si>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</si>
  <si>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</si>
  <si>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</si>
  <si>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</si>
  <si>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</si>
  <si>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</si>
  <si>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</si>
  <si>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</si>
  <si>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</si>
  <si>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</si>
  <si>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</si>
  <si>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</si>
  <si>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</si>
  <si>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</si>
  <si>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</si>
  <si>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</si>
  <si>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</si>
  <si>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</si>
  <si>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</si>
  <si>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</si>
  <si>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</si>
  <si>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</si>
  <si>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</si>
  <si>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</si>
  <si>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</si>
  <si>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</si>
  <si>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</si>
  <si>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</si>
  <si>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</si>
  <si>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</si>
  <si>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</si>
  <si>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</si>
  <si>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</si>
  <si>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</si>
  <si>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</si>
  <si>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</si>
  <si>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</si>
  <si>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</si>
  <si>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</si>
  <si>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</si>
  <si>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</si>
  <si>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</si>
  <si>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</si>
  <si>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</si>
  <si>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</si>
  <si>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</si>
  <si>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</si>
  <si>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</si>
  <si>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</si>
  <si>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</si>
  <si>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</si>
  <si>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</si>
  <si>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</si>
  <si>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</si>
  <si>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</si>
  <si>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</si>
  <si>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</si>
  <si>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</si>
  <si>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</si>
  <si>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</si>
  <si>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</si>
  <si>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</si>
  <si>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</si>
  <si>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</si>
  <si>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</si>
  <si>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</si>
  <si>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</si>
  <si>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</si>
  <si>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</si>
  <si>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</si>
  <si>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</si>
  <si>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</si>
  <si>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</si>
  <si>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</si>
  <si>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</si>
  <si>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</si>
  <si>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</si>
  <si>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</si>
  <si>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</si>
  <si>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</si>
  <si>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</si>
  <si>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</si>
  <si>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</si>
  <si>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</si>
  <si>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</si>
  <si>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</si>
  <si>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</si>
  <si>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</si>
  <si>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</si>
  <si>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</si>
  <si>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</si>
  <si>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</si>
  <si>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</si>
  <si>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</si>
  <si>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</si>
  <si>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</si>
  <si>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</si>
  <si>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</si>
  <si>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</si>
  <si>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</si>
  <si>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</si>
  <si>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</si>
  <si>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</si>
  <si>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</si>
  <si>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</si>
  <si>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</si>
  <si>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</si>
  <si>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</si>
  <si>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</si>
  <si>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</si>
  <si>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</si>
  <si>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</si>
  <si>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</si>
  <si>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</si>
  <si>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</si>
  <si>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</si>
  <si>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</si>
  <si>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</si>
  <si>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</si>
  <si>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</si>
  <si>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</si>
  <si>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</si>
  <si>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</si>
  <si>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</si>
  <si>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</si>
  <si>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</si>
  <si>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</si>
  <si>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</si>
  <si>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</si>
  <si>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</si>
  <si>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</si>
  <si>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</si>
  <si>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</si>
  <si>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</si>
  <si>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</si>
  <si>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</si>
  <si>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</si>
  <si>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</si>
  <si>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</si>
  <si>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</si>
  <si>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</si>
  <si>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</si>
  <si>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</si>
  <si>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</si>
  <si>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</si>
  <si>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</si>
  <si>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</si>
  <si>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</si>
  <si>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</si>
  <si>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</si>
  <si>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</si>
  <si>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</si>
  <si>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</si>
  <si>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</si>
  <si>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</si>
  <si>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</si>
  <si>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</si>
  <si>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</si>
  <si>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</si>
  <si>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</si>
  <si>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</si>
  <si>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</si>
  <si>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</si>
  <si>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</si>
  <si>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</si>
  <si>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</si>
  <si>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</si>
  <si>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</si>
  <si>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</si>
  <si>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</si>
  <si>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</si>
  <si>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</si>
  <si>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</si>
  <si>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</si>
  <si>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</si>
  <si>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</si>
  <si>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</si>
  <si>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</si>
  <si>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</si>
  <si>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</si>
  <si>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</si>
  <si>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</si>
  <si>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</si>
  <si>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</si>
  <si>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</si>
  <si>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</si>
  <si>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</si>
  <si>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</si>
  <si>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</si>
  <si>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</si>
  <si>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</si>
  <si>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</si>
  <si>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</si>
  <si>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</si>
  <si>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</si>
  <si>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</si>
  <si>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</si>
  <si>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</si>
  <si>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</si>
  <si>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</si>
  <si>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</si>
  <si>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</si>
  <si>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</si>
  <si>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</si>
  <si>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</si>
  <si>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</si>
  <si>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</si>
  <si>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</si>
  <si>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</si>
  <si>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</si>
  <si>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</si>
  <si>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</si>
  <si>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</si>
  <si>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</si>
  <si>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</si>
  <si>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</si>
  <si>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</si>
  <si>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</si>
  <si>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</si>
  <si>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</si>
  <si>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</si>
  <si>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</si>
  <si>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</si>
  <si>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</si>
  <si>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</si>
  <si>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</si>
  <si>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</si>
  <si>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</si>
  <si>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</si>
  <si>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</si>
  <si>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</si>
  <si>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</si>
  <si>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</si>
  <si>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</si>
  <si>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</si>
  <si>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</si>
  <si>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</si>
  <si>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</si>
  <si>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</si>
  <si>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</si>
  <si>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</si>
  <si>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</si>
  <si>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</si>
  <si>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</si>
  <si>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</si>
  <si>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</si>
  <si>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</si>
  <si>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</si>
  <si>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</si>
  <si>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</si>
  <si>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</si>
  <si>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</si>
  <si>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</si>
  <si>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</si>
  <si>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</si>
  <si>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</si>
  <si>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</si>
  <si>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</si>
  <si>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</si>
  <si>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</si>
  <si>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</si>
  <si>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</si>
  <si>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</si>
  <si>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</si>
  <si>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</si>
  <si>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</si>
  <si>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</si>
  <si>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</si>
  <si>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</si>
  <si>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</si>
  <si>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</si>
  <si>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</si>
  <si>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</si>
  <si>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</si>
  <si>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</si>
  <si>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</si>
  <si>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</si>
  <si>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</si>
  <si>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</si>
  <si>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</si>
  <si>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</si>
  <si>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</si>
  <si>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</si>
  <si>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</si>
  <si>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</si>
  <si>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</si>
  <si>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</si>
  <si>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</si>
  <si>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</si>
  <si>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</si>
  <si>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</si>
  <si>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</si>
  <si>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</si>
  <si>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</si>
  <si>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</si>
  <si>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</si>
  <si>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</si>
  <si>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</si>
  <si>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</si>
  <si>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</si>
  <si>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</si>
  <si>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</si>
  <si>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</si>
  <si>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</si>
  <si>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</si>
  <si>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</si>
  <si>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</si>
  <si>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</si>
  <si>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</si>
  <si>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</si>
  <si>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</si>
  <si>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</si>
  <si>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</si>
  <si>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</si>
  <si>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</si>
  <si>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</si>
  <si>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</si>
  <si>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</si>
  <si>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</si>
  <si>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</si>
  <si>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</si>
  <si>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</si>
  <si>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</si>
  <si>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</si>
  <si>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</si>
  <si>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</si>
  <si>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</si>
  <si>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</si>
  <si>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</si>
  <si>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</si>
  <si>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</si>
  <si>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</si>
  <si>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</si>
  <si>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</si>
  <si>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</si>
  <si>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</si>
  <si>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</si>
  <si>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</si>
  <si>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</si>
  <si>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</si>
  <si>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</si>
  <si>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</si>
  <si>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</si>
  <si>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</si>
  <si>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</si>
  <si>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</si>
  <si>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</si>
  <si>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</si>
  <si>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</si>
  <si>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</si>
  <si>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</si>
  <si>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</si>
  <si>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</si>
  <si>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</si>
  <si>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</si>
  <si>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</si>
  <si>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</si>
  <si>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</si>
  <si>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</si>
  <si>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</si>
  <si>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</si>
  <si>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</si>
  <si>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</si>
  <si>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</si>
  <si>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</si>
  <si>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</si>
  <si>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</si>
  <si>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</si>
  <si>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</si>
  <si>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</si>
  <si>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</si>
  <si>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</si>
  <si>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</si>
  <si>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</si>
  <si>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</si>
  <si>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</si>
  <si>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</si>
  <si>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</si>
  <si>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</si>
  <si>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</si>
  <si>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</si>
  <si>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</si>
  <si>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</si>
  <si>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</si>
  <si>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</si>
  <si>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</si>
  <si>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</si>
  <si>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</si>
  <si>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</si>
  <si>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</si>
  <si>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</si>
  <si>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</si>
  <si>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</si>
  <si>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</si>
  <si>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</si>
  <si>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</si>
  <si>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</si>
  <si>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</si>
  <si>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</si>
  <si>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</si>
  <si>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</si>
  <si>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</si>
  <si>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</si>
  <si>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</si>
  <si>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</si>
  <si>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</si>
  <si>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</si>
  <si>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</si>
  <si>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</si>
  <si>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</si>
  <si>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</si>
  <si>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</si>
  <si>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</si>
  <si>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</si>
  <si>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</si>
  <si>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</si>
  <si>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</si>
  <si>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</si>
  <si>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</si>
  <si>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</si>
  <si>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</si>
  <si>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</si>
  <si>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</si>
  <si>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</si>
  <si>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</si>
  <si>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</si>
  <si>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</si>
  <si>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</si>
  <si>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</si>
  <si>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</si>
  <si>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</si>
  <si>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</si>
  <si>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</si>
  <si>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</si>
  <si>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</si>
  <si>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</si>
  <si>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</si>
  <si>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</si>
  <si>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</si>
  <si>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</si>
  <si>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</si>
  <si>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</si>
  <si>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</si>
  <si>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</si>
  <si>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</si>
  <si>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</si>
  <si>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</si>
  <si>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</si>
  <si>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</si>
  <si>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</si>
  <si>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</si>
  <si>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</si>
  <si>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</si>
  <si>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</si>
  <si>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</si>
  <si>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</si>
  <si>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</si>
  <si>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</si>
  <si>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</si>
  <si>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</si>
  <si>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</si>
  <si>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</si>
  <si>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</si>
  <si>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</si>
  <si>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</si>
  <si>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</si>
  <si>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</si>
  <si>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</si>
  <si>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</si>
  <si>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</si>
  <si>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</si>
  <si>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</si>
  <si>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</si>
  <si>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</si>
  <si>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</si>
  <si>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</si>
  <si>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</si>
  <si>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</si>
  <si>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</si>
  <si>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</si>
  <si>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</si>
  <si>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</si>
  <si>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</si>
  <si>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</si>
  <si>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</si>
  <si>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</si>
  <si>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</si>
  <si>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</si>
  <si>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</si>
  <si>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</si>
  <si>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</si>
  <si>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</si>
  <si>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</si>
  <si>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</si>
  <si>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</si>
  <si>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</si>
  <si>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</si>
  <si>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</si>
  <si>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</si>
  <si>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</si>
  <si>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</si>
  <si>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</si>
  <si>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</si>
  <si>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</si>
  <si>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</si>
  <si>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</si>
  <si>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</si>
  <si>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</si>
  <si>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</si>
  <si>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</si>
  <si>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</si>
  <si>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</si>
  <si>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</si>
  <si>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</si>
  <si>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</si>
  <si>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</si>
  <si>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</si>
  <si>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</si>
  <si>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</si>
  <si>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</si>
  <si>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</si>
  <si>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</si>
  <si>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</si>
  <si>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</si>
  <si>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</si>
  <si>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</si>
  <si>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</si>
  <si>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</si>
  <si>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</si>
  <si>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</si>
  <si>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</si>
  <si>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</si>
  <si>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</si>
  <si>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</si>
  <si>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</si>
  <si>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</si>
  <si>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</si>
  <si>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</si>
  <si>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</si>
  <si>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</si>
  <si>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</si>
  <si>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</si>
  <si>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</si>
  <si>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</si>
  <si>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</si>
  <si>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</si>
  <si>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</si>
  <si>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</si>
  <si>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</si>
  <si>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</si>
  <si>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</si>
  <si>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</si>
  <si>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</si>
  <si>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</si>
  <si>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</si>
  <si>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</si>
  <si>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</si>
  <si>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</si>
  <si>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</si>
  <si>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</si>
  <si>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</si>
  <si>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</si>
  <si>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</si>
  <si>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</si>
  <si>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</si>
  <si>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</si>
  <si>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</si>
  <si>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</si>
  <si>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</si>
  <si>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</si>
  <si>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</si>
  <si>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</si>
  <si>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</si>
  <si>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</si>
  <si>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</si>
  <si>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</si>
  <si>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</si>
  <si>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</si>
  <si>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</si>
  <si>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</si>
  <si>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</si>
  <si>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</si>
  <si>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</si>
  <si>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</si>
  <si>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</si>
  <si>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</si>
  <si>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</si>
  <si>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</si>
  <si>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</si>
  <si>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</si>
  <si>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</si>
  <si>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</si>
  <si>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</si>
  <si>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</si>
  <si>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</si>
  <si>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</si>
  <si>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</si>
  <si>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</si>
  <si>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</si>
  <si>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</si>
  <si>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</si>
  <si>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</si>
  <si>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</si>
  <si>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</si>
  <si>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</si>
  <si>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</si>
  <si>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</si>
  <si>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</si>
  <si>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</si>
  <si>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</si>
  <si>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</si>
  <si>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</si>
  <si>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</si>
  <si>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</si>
  <si>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</si>
  <si>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</si>
  <si>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</si>
  <si>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</si>
  <si>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</si>
  <si>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</si>
  <si>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</si>
  <si>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</si>
  <si>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</si>
  <si>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</si>
  <si>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</si>
  <si>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</si>
  <si>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</si>
  <si>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</si>
  <si>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</si>
  <si>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</si>
  <si>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</si>
  <si>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</si>
  <si>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</si>
  <si>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</si>
  <si>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</si>
  <si>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</si>
  <si>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</si>
  <si>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</si>
  <si>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</si>
  <si>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</si>
  <si>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</si>
  <si>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</si>
  <si>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</si>
  <si>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</si>
  <si>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</si>
  <si>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</si>
  <si>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</si>
  <si>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</si>
  <si>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</si>
  <si>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</si>
  <si>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</si>
  <si>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</si>
  <si>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</si>
  <si>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</si>
  <si>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</si>
  <si>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</si>
  <si>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</si>
  <si>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</si>
  <si>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</si>
  <si>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</si>
  <si>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</si>
  <si>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</si>
  <si>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</si>
  <si>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</si>
  <si>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</si>
  <si>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</si>
  <si>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</si>
  <si>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</si>
  <si>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</si>
  <si>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</si>
  <si>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</si>
  <si>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</si>
  <si>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</si>
  <si>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</si>
  <si>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</si>
  <si>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</si>
  <si>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</si>
  <si>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</si>
  <si>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</si>
  <si>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</si>
  <si>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</si>
  <si>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</si>
  <si>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</si>
  <si>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</si>
  <si>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</si>
  <si>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</si>
  <si>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</si>
  <si>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</si>
  <si>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</si>
  <si>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</si>
  <si>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</si>
  <si>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</si>
  <si>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</si>
  <si>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</si>
  <si>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</si>
  <si>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</si>
  <si>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</si>
  <si>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</si>
  <si>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</si>
  <si>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</si>
  <si>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</si>
  <si>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</si>
  <si>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</si>
  <si>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</si>
  <si>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</si>
  <si>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</si>
  <si>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</si>
  <si>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</si>
  <si>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</si>
  <si>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</si>
  <si>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</si>
  <si>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</si>
  <si>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</si>
  <si>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</si>
  <si>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</si>
  <si>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</si>
  <si>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</si>
  <si>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</si>
  <si>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</si>
  <si>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</si>
  <si>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</si>
  <si>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</si>
  <si>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</si>
  <si>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</si>
  <si>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</si>
  <si>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</si>
  <si>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</si>
  <si>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</si>
  <si>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</si>
  <si>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</si>
  <si>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</si>
  <si>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</si>
  <si>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</si>
  <si>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</si>
  <si>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</si>
  <si>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</si>
  <si>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</si>
  <si>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</si>
  <si>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</si>
  <si>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</si>
  <si>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</si>
  <si>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</si>
  <si>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</si>
  <si>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</si>
  <si>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</si>
  <si>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</si>
  <si>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</si>
  <si>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</si>
  <si>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</si>
  <si>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</si>
  <si>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</si>
  <si>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</si>
  <si>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</si>
  <si>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</si>
  <si>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</si>
  <si>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</si>
  <si>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</si>
  <si>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</si>
  <si>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</si>
  <si>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</si>
  <si>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</si>
  <si>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</si>
  <si>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</si>
  <si>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</si>
  <si>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71034</t>
  </si>
  <si>
    <t>LEOPOLDSBURG</t>
  </si>
  <si>
    <t>Paarden&amp;pony's 200 - 600 kg</t>
  </si>
  <si>
    <t>Paarden&amp;pony's &lt; 200 kg</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</si>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</sst>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71034</v>
      </c>
      <c r="B6" s="397"/>
      <c r="C6" s="398"/>
    </row>
    <row r="7" spans="1:7" s="395" customFormat="1" ht="15.75" customHeight="1">
      <c r="A7" s="399" t="str">
        <f>txtMunicipality</f>
        <v>LEOPOLDSBURG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0.20982348037854592</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0.20982348037854592</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71034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6328</v>
      </c>
      <c r="C9" s="338">
        <v>6693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400</v>
      </c>
    </row>
    <row r="15" spans="1:6">
      <c r="A15" s="1286" t="s">
        <v>184</v>
      </c>
      <c r="B15" s="335">
        <v>10</v>
      </c>
    </row>
    <row r="16" spans="1:6">
      <c r="A16" s="1286" t="s">
        <v>6</v>
      </c>
      <c r="B16" s="335">
        <v>34</v>
      </c>
    </row>
    <row r="17" spans="1:6">
      <c r="A17" s="1286" t="s">
        <v>7</v>
      </c>
      <c r="B17" s="335">
        <v>8</v>
      </c>
    </row>
    <row r="18" spans="1:6">
      <c r="A18" s="1286" t="s">
        <v>8</v>
      </c>
      <c r="B18" s="335">
        <v>36</v>
      </c>
    </row>
    <row r="19" spans="1:6">
      <c r="A19" s="1286" t="s">
        <v>9</v>
      </c>
      <c r="B19" s="335">
        <v>36</v>
      </c>
    </row>
    <row r="20" spans="1:6">
      <c r="A20" s="1286" t="s">
        <v>10</v>
      </c>
      <c r="B20" s="335">
        <v>25</v>
      </c>
    </row>
    <row r="21" spans="1:6">
      <c r="A21" s="1286" t="s">
        <v>11</v>
      </c>
      <c r="B21" s="335">
        <v>0</v>
      </c>
    </row>
    <row r="22" spans="1:6">
      <c r="A22" s="1286" t="s">
        <v>12</v>
      </c>
      <c r="B22" s="335">
        <v>189</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55</v>
      </c>
      <c r="C29" s="341"/>
      <c r="D29" s="341"/>
      <c r="E29" s="341"/>
      <c r="F29" s="341"/>
    </row>
    <row r="30" spans="1:6">
      <c r="A30" s="1282" t="s">
        <v>945</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39656</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3105</v>
      </c>
      <c r="D39" s="335">
        <v>47973980</v>
      </c>
      <c r="E39" s="335">
        <v>6361</v>
      </c>
      <c r="F39" s="335">
        <v>26540817</v>
      </c>
    </row>
    <row r="40" spans="1:6">
      <c r="A40" s="1286" t="s">
        <v>30</v>
      </c>
      <c r="B40" s="1286" t="s">
        <v>29</v>
      </c>
      <c r="C40" s="335">
        <v>0</v>
      </c>
      <c r="D40" s="335">
        <v>0</v>
      </c>
      <c r="E40" s="335">
        <v>0</v>
      </c>
      <c r="F40" s="335">
        <v>0</v>
      </c>
    </row>
    <row r="41" spans="1:6">
      <c r="A41" s="1286" t="s">
        <v>32</v>
      </c>
      <c r="B41" s="1286" t="s">
        <v>33</v>
      </c>
      <c r="C41" s="335">
        <v>28</v>
      </c>
      <c r="D41" s="335">
        <v>669874</v>
      </c>
      <c r="E41" s="335">
        <v>80</v>
      </c>
      <c r="F41" s="335">
        <v>833085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155364</v>
      </c>
      <c r="E44" s="335">
        <v>6</v>
      </c>
      <c r="F44" s="335">
        <v>60939</v>
      </c>
    </row>
    <row r="45" spans="1:6">
      <c r="A45" s="1286" t="s">
        <v>32</v>
      </c>
      <c r="B45" s="1286" t="s">
        <v>37</v>
      </c>
      <c r="C45" s="335">
        <v>0</v>
      </c>
      <c r="D45" s="335">
        <v>0</v>
      </c>
      <c r="E45" s="335">
        <v>3</v>
      </c>
      <c r="F45" s="335">
        <v>501341</v>
      </c>
    </row>
    <row r="46" spans="1:6">
      <c r="A46" s="1286" t="s">
        <v>32</v>
      </c>
      <c r="B46" s="1286" t="s">
        <v>38</v>
      </c>
      <c r="C46" s="335">
        <v>0</v>
      </c>
      <c r="D46" s="335">
        <v>0</v>
      </c>
      <c r="E46" s="335">
        <v>0</v>
      </c>
      <c r="F46" s="335">
        <v>0</v>
      </c>
    </row>
    <row r="47" spans="1:6">
      <c r="A47" s="1286" t="s">
        <v>32</v>
      </c>
      <c r="B47" s="1286" t="s">
        <v>39</v>
      </c>
      <c r="C47" s="335">
        <v>3</v>
      </c>
      <c r="D47" s="335">
        <v>100823</v>
      </c>
      <c r="E47" s="335">
        <v>3</v>
      </c>
      <c r="F47" s="335">
        <v>45475</v>
      </c>
    </row>
    <row r="48" spans="1:6">
      <c r="A48" s="1286" t="s">
        <v>32</v>
      </c>
      <c r="B48" s="1286" t="s">
        <v>29</v>
      </c>
      <c r="C48" s="335">
        <v>0</v>
      </c>
      <c r="D48" s="335">
        <v>0</v>
      </c>
      <c r="E48" s="335">
        <v>1</v>
      </c>
      <c r="F48" s="335">
        <v>19480</v>
      </c>
    </row>
    <row r="49" spans="1:6">
      <c r="A49" s="1286" t="s">
        <v>32</v>
      </c>
      <c r="B49" s="1286" t="s">
        <v>40</v>
      </c>
      <c r="C49" s="335">
        <v>0</v>
      </c>
      <c r="D49" s="335">
        <v>0</v>
      </c>
      <c r="E49" s="335">
        <v>0</v>
      </c>
      <c r="F49" s="335">
        <v>0</v>
      </c>
    </row>
    <row r="50" spans="1:6">
      <c r="A50" s="1286" t="s">
        <v>32</v>
      </c>
      <c r="B50" s="1286" t="s">
        <v>41</v>
      </c>
      <c r="C50" s="335">
        <v>5</v>
      </c>
      <c r="D50" s="335">
        <v>665408</v>
      </c>
      <c r="E50" s="335">
        <v>17</v>
      </c>
      <c r="F50" s="335">
        <v>569082</v>
      </c>
    </row>
    <row r="51" spans="1:6">
      <c r="A51" s="1286" t="s">
        <v>42</v>
      </c>
      <c r="B51" s="1286" t="s">
        <v>43</v>
      </c>
      <c r="C51" s="335">
        <v>0</v>
      </c>
      <c r="D51" s="335">
        <v>0</v>
      </c>
      <c r="E51" s="335">
        <v>9</v>
      </c>
      <c r="F51" s="335">
        <v>126334</v>
      </c>
    </row>
    <row r="52" spans="1:6">
      <c r="A52" s="1286" t="s">
        <v>42</v>
      </c>
      <c r="B52" s="1286" t="s">
        <v>29</v>
      </c>
      <c r="C52" s="335">
        <v>1</v>
      </c>
      <c r="D52" s="335">
        <v>31144</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69</v>
      </c>
      <c r="F54" s="335">
        <v>820519</v>
      </c>
    </row>
    <row r="55" spans="1:6">
      <c r="A55" s="1286" t="s">
        <v>46</v>
      </c>
      <c r="B55" s="1286" t="s">
        <v>29</v>
      </c>
      <c r="C55" s="335">
        <v>0</v>
      </c>
      <c r="D55" s="335">
        <v>0</v>
      </c>
      <c r="E55" s="335">
        <v>0</v>
      </c>
      <c r="F55" s="335">
        <v>0</v>
      </c>
    </row>
    <row r="56" spans="1:6">
      <c r="A56" s="1286" t="s">
        <v>48</v>
      </c>
      <c r="B56" s="1286" t="s">
        <v>29</v>
      </c>
      <c r="C56" s="335">
        <v>43</v>
      </c>
      <c r="D56" s="335">
        <v>3323272</v>
      </c>
      <c r="E56" s="335">
        <v>105</v>
      </c>
      <c r="F56" s="335">
        <v>486731</v>
      </c>
    </row>
    <row r="57" spans="1:6">
      <c r="A57" s="1286" t="s">
        <v>49</v>
      </c>
      <c r="B57" s="1286" t="s">
        <v>50</v>
      </c>
      <c r="C57" s="335">
        <v>37</v>
      </c>
      <c r="D57" s="335">
        <v>2734024</v>
      </c>
      <c r="E57" s="335">
        <v>76</v>
      </c>
      <c r="F57" s="335">
        <v>1160678</v>
      </c>
    </row>
    <row r="58" spans="1:6">
      <c r="A58" s="1286" t="s">
        <v>49</v>
      </c>
      <c r="B58" s="1286" t="s">
        <v>51</v>
      </c>
      <c r="C58" s="335">
        <v>12</v>
      </c>
      <c r="D58" s="335">
        <v>1256246</v>
      </c>
      <c r="E58" s="335">
        <v>25</v>
      </c>
      <c r="F58" s="335">
        <v>959865</v>
      </c>
    </row>
    <row r="59" spans="1:6">
      <c r="A59" s="1286" t="s">
        <v>49</v>
      </c>
      <c r="B59" s="1286" t="s">
        <v>52</v>
      </c>
      <c r="C59" s="335">
        <v>63</v>
      </c>
      <c r="D59" s="335">
        <v>2316609</v>
      </c>
      <c r="E59" s="335">
        <v>193</v>
      </c>
      <c r="F59" s="335">
        <v>4714318</v>
      </c>
    </row>
    <row r="60" spans="1:6">
      <c r="A60" s="1286" t="s">
        <v>49</v>
      </c>
      <c r="B60" s="1286" t="s">
        <v>53</v>
      </c>
      <c r="C60" s="335">
        <v>37</v>
      </c>
      <c r="D60" s="335">
        <v>1517334</v>
      </c>
      <c r="E60" s="335">
        <v>59</v>
      </c>
      <c r="F60" s="335">
        <v>1345492</v>
      </c>
    </row>
    <row r="61" spans="1:6">
      <c r="A61" s="1286" t="s">
        <v>49</v>
      </c>
      <c r="B61" s="1286" t="s">
        <v>54</v>
      </c>
      <c r="C61" s="335">
        <v>66</v>
      </c>
      <c r="D61" s="335">
        <v>36087257</v>
      </c>
      <c r="E61" s="335">
        <v>226</v>
      </c>
      <c r="F61" s="335">
        <v>10061803</v>
      </c>
    </row>
    <row r="62" spans="1:6">
      <c r="A62" s="1286" t="s">
        <v>49</v>
      </c>
      <c r="B62" s="1286" t="s">
        <v>55</v>
      </c>
      <c r="C62" s="335">
        <v>0</v>
      </c>
      <c r="D62" s="335">
        <v>0</v>
      </c>
      <c r="E62" s="335">
        <v>11</v>
      </c>
      <c r="F62" s="335">
        <v>405391</v>
      </c>
    </row>
    <row r="63" spans="1:6">
      <c r="A63" s="1286" t="s">
        <v>49</v>
      </c>
      <c r="B63" s="1286" t="s">
        <v>29</v>
      </c>
      <c r="C63" s="335">
        <v>1</v>
      </c>
      <c r="D63" s="335">
        <v>13124</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83408</v>
      </c>
      <c r="E68" s="335">
        <v>5</v>
      </c>
      <c r="F68" s="335">
        <v>32247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59190625</v>
      </c>
      <c r="E73" s="335">
        <v>60593072.908502892</v>
      </c>
    </row>
    <row r="74" spans="1:6">
      <c r="A74" s="1286" t="s">
        <v>64</v>
      </c>
      <c r="B74" s="1286" t="s">
        <v>772</v>
      </c>
      <c r="C74" s="1297" t="s">
        <v>766</v>
      </c>
      <c r="D74" s="335">
        <v>3727673.3747278657</v>
      </c>
      <c r="E74" s="335">
        <v>3795937.9876092486</v>
      </c>
    </row>
    <row r="75" spans="1:6">
      <c r="A75" s="1286" t="s">
        <v>65</v>
      </c>
      <c r="B75" s="1286" t="s">
        <v>771</v>
      </c>
      <c r="C75" s="1297" t="s">
        <v>767</v>
      </c>
      <c r="D75" s="335">
        <v>22212877</v>
      </c>
      <c r="E75" s="335">
        <v>23044569.000297558</v>
      </c>
    </row>
    <row r="76" spans="1:6">
      <c r="A76" s="1286" t="s">
        <v>65</v>
      </c>
      <c r="B76" s="1286" t="s">
        <v>772</v>
      </c>
      <c r="C76" s="1297" t="s">
        <v>768</v>
      </c>
      <c r="D76" s="335">
        <v>188259.3747278658</v>
      </c>
      <c r="E76" s="335">
        <v>223885.46632862522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362379.25054426841</v>
      </c>
      <c r="C83" s="335">
        <v>342689.13901303883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2638.831418300143</v>
      </c>
    </row>
    <row r="92" spans="1:6">
      <c r="A92" s="1282" t="s">
        <v>69</v>
      </c>
      <c r="B92" s="338">
        <v>121.69100556983472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1130</v>
      </c>
    </row>
    <row r="98" spans="1:6">
      <c r="A98" s="1286" t="s">
        <v>72</v>
      </c>
      <c r="B98" s="335">
        <v>3</v>
      </c>
    </row>
    <row r="99" spans="1:6">
      <c r="A99" s="1286" t="s">
        <v>73</v>
      </c>
      <c r="B99" s="335">
        <v>45</v>
      </c>
    </row>
    <row r="100" spans="1:6">
      <c r="A100" s="1286" t="s">
        <v>74</v>
      </c>
      <c r="B100" s="335">
        <v>630</v>
      </c>
    </row>
    <row r="101" spans="1:6">
      <c r="A101" s="1286" t="s">
        <v>75</v>
      </c>
      <c r="B101" s="335">
        <v>47</v>
      </c>
    </row>
    <row r="102" spans="1:6">
      <c r="A102" s="1286" t="s">
        <v>76</v>
      </c>
      <c r="B102" s="335">
        <v>102</v>
      </c>
    </row>
    <row r="103" spans="1:6">
      <c r="A103" s="1286" t="s">
        <v>77</v>
      </c>
      <c r="B103" s="335">
        <v>123</v>
      </c>
    </row>
    <row r="104" spans="1:6">
      <c r="A104" s="1286" t="s">
        <v>78</v>
      </c>
      <c r="B104" s="335">
        <v>3335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52614.894150315922</v>
      </c>
      <c r="C3" s="44" t="s">
        <v>170</v>
      </c>
      <c r="D3" s="44"/>
      <c r="E3" s="157"/>
      <c r="F3" s="44"/>
      <c r="G3" s="44"/>
      <c r="H3" s="44"/>
      <c r="I3" s="44"/>
      <c r="J3" s="44"/>
      <c r="K3" s="97"/>
    </row>
    <row r="4" spans="1:11">
      <c r="A4" s="365" t="s">
        <v>171</v>
      </c>
      <c r="B4" s="50">
        <f>IF(ISERROR('SEAP template'!B78+'SEAP template'!C78),0,'SEAP template'!B78+'SEAP template'!C78)</f>
        <v>4083.5224238699775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314.40705882352944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0.20982348037854592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449.15294117647068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1890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820.51900000000001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820.51900000000001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0.20982348037854592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172.16415229672413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26540.816999999999</v>
      </c>
      <c r="C5" s="18">
        <f>IF(ISERROR('Eigen informatie GS &amp; warmtenet'!B57),0,'Eigen informatie GS &amp; warmtenet'!B57)</f>
        <v>0</v>
      </c>
      <c r="D5" s="31">
        <f>(SUM(HH_hh_gas_kWh,HH_rest_gas_kWh)/1000)*0.902</f>
        <v>43272.529960000007</v>
      </c>
      <c r="E5" s="18">
        <f>B46*B57</f>
        <v>2275.1393126407061</v>
      </c>
      <c r="F5" s="18">
        <f>B51*B62</f>
        <v>30744.869781109755</v>
      </c>
      <c r="G5" s="19"/>
      <c r="H5" s="18"/>
      <c r="I5" s="18"/>
      <c r="J5" s="18">
        <f>B50*B61+C50*C61</f>
        <v>0</v>
      </c>
      <c r="K5" s="18"/>
      <c r="L5" s="18"/>
      <c r="M5" s="18"/>
      <c r="N5" s="18">
        <f>B48*B59+C48*C59</f>
        <v>7716.9941929091847</v>
      </c>
      <c r="O5" s="18">
        <f>B69*B70*B71</f>
        <v>84.42</v>
      </c>
      <c r="P5" s="18">
        <f>B77*B78*B79/1000-B77*B78*B79/1000/B80</f>
        <v>171.6</v>
      </c>
    </row>
    <row r="6" spans="1:16">
      <c r="A6" s="17" t="s">
        <v>639</v>
      </c>
      <c r="B6" s="780">
        <f>kWh_PV_kleiner_dan_10kW</f>
        <v>2638.831418300143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29179.648418300141</v>
      </c>
      <c r="C8" s="22">
        <f>C5</f>
        <v>0</v>
      </c>
      <c r="D8" s="22">
        <f>D5</f>
        <v>43272.529960000007</v>
      </c>
      <c r="E8" s="22">
        <f>E5</f>
        <v>2275.1393126407061</v>
      </c>
      <c r="F8" s="22">
        <f>F5</f>
        <v>30744.869781109755</v>
      </c>
      <c r="G8" s="22"/>
      <c r="H8" s="22"/>
      <c r="I8" s="22"/>
      <c r="J8" s="22">
        <f>J5</f>
        <v>0</v>
      </c>
      <c r="K8" s="22"/>
      <c r="L8" s="22">
        <f>L5</f>
        <v>0</v>
      </c>
      <c r="M8" s="22">
        <f>M5</f>
        <v>0</v>
      </c>
      <c r="N8" s="22">
        <f>N5</f>
        <v>7716.9941929091847</v>
      </c>
      <c r="O8" s="22">
        <f>O5</f>
        <v>84.42</v>
      </c>
      <c r="P8" s="22">
        <f>P5</f>
        <v>171.6</v>
      </c>
    </row>
    <row r="9" spans="1:16">
      <c r="B9" s="20"/>
      <c r="C9" s="20"/>
      <c r="D9" s="262"/>
      <c r="E9" s="20"/>
      <c r="F9" s="20"/>
      <c r="G9" s="20"/>
      <c r="H9" s="20"/>
      <c r="I9" s="20"/>
      <c r="J9" s="20"/>
      <c r="K9" s="20"/>
      <c r="L9" s="20"/>
      <c r="M9" s="20"/>
      <c r="N9" s="20"/>
      <c r="O9" s="20"/>
      <c r="P9" s="20"/>
    </row>
    <row r="10" spans="1:16">
      <c r="A10" s="25" t="s">
        <v>214</v>
      </c>
      <c r="B10" s="26">
        <f ca="1">'EF ele_warmte'!B12</f>
        <v>0.20982348037854592</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6122.575387350068</v>
      </c>
      <c r="C12" s="24">
        <f ca="1">C10*C8</f>
        <v>0</v>
      </c>
      <c r="D12" s="24">
        <f>D8*D10</f>
        <v>8741.0510519200016</v>
      </c>
      <c r="E12" s="24">
        <f>E10*E8</f>
        <v>516.45662396944033</v>
      </c>
      <c r="F12" s="24">
        <f>F10*F8</f>
        <v>8208.8802315563044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1130</v>
      </c>
      <c r="C18" s="169" t="s">
        <v>111</v>
      </c>
      <c r="D18" s="231"/>
      <c r="E18" s="16"/>
    </row>
    <row r="19" spans="1:7">
      <c r="A19" s="174" t="s">
        <v>72</v>
      </c>
      <c r="B19" s="38">
        <f>aantalw2001_ander</f>
        <v>3</v>
      </c>
      <c r="C19" s="169" t="s">
        <v>111</v>
      </c>
      <c r="D19" s="232"/>
      <c r="E19" s="16"/>
    </row>
    <row r="20" spans="1:7">
      <c r="A20" s="174" t="s">
        <v>73</v>
      </c>
      <c r="B20" s="38">
        <f>aantalw2001_propaan</f>
        <v>45</v>
      </c>
      <c r="C20" s="170">
        <f>IF(ISERROR(B20/SUM($B$20,$B$21,$B$22)*100),0,B20/SUM($B$20,$B$21,$B$22)*100)</f>
        <v>6.2326869806094187</v>
      </c>
      <c r="D20" s="232"/>
      <c r="E20" s="16"/>
    </row>
    <row r="21" spans="1:7">
      <c r="A21" s="174" t="s">
        <v>74</v>
      </c>
      <c r="B21" s="38">
        <f>aantalw2001_elektriciteit</f>
        <v>630</v>
      </c>
      <c r="C21" s="170">
        <f>IF(ISERROR(B21/SUM($B$20,$B$21,$B$22)*100),0,B21/SUM($B$20,$B$21,$B$22)*100)</f>
        <v>87.257617728531855</v>
      </c>
      <c r="D21" s="232"/>
      <c r="E21" s="16"/>
    </row>
    <row r="22" spans="1:7">
      <c r="A22" s="174" t="s">
        <v>75</v>
      </c>
      <c r="B22" s="38">
        <f>aantalw2001_hout</f>
        <v>47</v>
      </c>
      <c r="C22" s="170">
        <f>IF(ISERROR(B22/SUM($B$20,$B$21,$B$22)*100),0,B22/SUM($B$20,$B$21,$B$22)*100)</f>
        <v>6.5096952908587262</v>
      </c>
      <c r="D22" s="232"/>
      <c r="E22" s="16"/>
    </row>
    <row r="23" spans="1:7">
      <c r="A23" s="174" t="s">
        <v>76</v>
      </c>
      <c r="B23" s="38">
        <f>aantalw2001_niet_gespec</f>
        <v>102</v>
      </c>
      <c r="C23" s="169" t="s">
        <v>111</v>
      </c>
      <c r="D23" s="231"/>
      <c r="E23" s="16"/>
    </row>
    <row r="24" spans="1:7">
      <c r="A24" s="174" t="s">
        <v>77</v>
      </c>
      <c r="B24" s="38">
        <f>aantalw2001_steenkool</f>
        <v>123</v>
      </c>
      <c r="C24" s="169" t="s">
        <v>111</v>
      </c>
      <c r="D24" s="232"/>
      <c r="E24" s="16"/>
    </row>
    <row r="25" spans="1:7">
      <c r="A25" s="174" t="s">
        <v>78</v>
      </c>
      <c r="B25" s="38">
        <f>aantalw2001_stookolie</f>
        <v>3335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6328</v>
      </c>
      <c r="C28" s="37"/>
      <c r="D28" s="231"/>
    </row>
    <row r="29" spans="1:7" s="16" customFormat="1">
      <c r="A29" s="233" t="s">
        <v>666</v>
      </c>
      <c r="B29" s="38">
        <f>SUM(HH_hh_gas_aantal,HH_rest_gas_aantal)</f>
        <v>3105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3105</v>
      </c>
      <c r="C32" s="170">
        <f>IF(ISERROR(B32/SUM($B$32,$B$34,$B$35,$B$36,$B$38,$B$39)*100),0,B32/SUM($B$32,$B$34,$B$35,$B$36,$B$38,$B$39)*100)</f>
        <v>49.13752175977212</v>
      </c>
      <c r="D32" s="236"/>
      <c r="G32" s="16"/>
    </row>
    <row r="33" spans="1:7">
      <c r="A33" s="174" t="s">
        <v>72</v>
      </c>
      <c r="B33" s="35" t="s">
        <v>111</v>
      </c>
      <c r="C33" s="170"/>
      <c r="D33" s="236"/>
      <c r="G33" s="16"/>
    </row>
    <row r="34" spans="1:7">
      <c r="A34" s="174" t="s">
        <v>73</v>
      </c>
      <c r="B34" s="34">
        <f>IF((($B$28-$B$32-$B$39-$B$77-$B$38)*C20/100)&lt;0,0,($B$28-$B$32-$B$39-$B$77-$B$38)*C20/100)</f>
        <v>103.24445983379502</v>
      </c>
      <c r="C34" s="170">
        <f>IF(ISERROR(B34/SUM($B$32,$B$34,$B$35,$B$36,$B$38,$B$39)*100),0,B34/SUM($B$32,$B$34,$B$35,$B$36,$B$38,$B$39)*100)</f>
        <v>1.6338733950592661</v>
      </c>
      <c r="D34" s="236"/>
      <c r="G34" s="16"/>
    </row>
    <row r="35" spans="1:7">
      <c r="A35" s="174" t="s">
        <v>74</v>
      </c>
      <c r="B35" s="34">
        <f>IF((($B$28-$B$32-$B$39-$B$77-$B$38)*C21/100)&lt;0,0,($B$28-$B$32-$B$39-$B$77-$B$38)*C21/100)</f>
        <v>1445.4224376731302</v>
      </c>
      <c r="C35" s="170">
        <f>IF(ISERROR(B35/SUM($B$32,$B$34,$B$35,$B$36,$B$38,$B$39)*100),0,B35/SUM($B$32,$B$34,$B$35,$B$36,$B$38,$B$39)*100)</f>
        <v>22.874227530829721</v>
      </c>
      <c r="D35" s="236"/>
      <c r="G35" s="16"/>
    </row>
    <row r="36" spans="1:7">
      <c r="A36" s="174" t="s">
        <v>75</v>
      </c>
      <c r="B36" s="34">
        <f>IF((($B$28-$B$32-$B$39-$B$77-$B$38)*C22/100)&lt;0,0,($B$28-$B$32-$B$39-$B$77-$B$38)*C22/100)</f>
        <v>107.8331024930748</v>
      </c>
      <c r="C36" s="170">
        <f>IF(ISERROR(B36/SUM($B$32,$B$34,$B$35,$B$36,$B$38,$B$39)*100),0,B36/SUM($B$32,$B$34,$B$35,$B$36,$B$38,$B$39)*100)</f>
        <v>1.7064899903952335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1557.5</v>
      </c>
      <c r="C39" s="170">
        <f>IF(ISERROR(B39/SUM($B$32,$B$34,$B$35,$B$36,$B$38,$B$39)*100),0,B39/SUM($B$32,$B$34,$B$35,$B$36,$B$38,$B$39)*100)</f>
        <v>24.647887323943664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3105</v>
      </c>
      <c r="C44" s="35" t="s">
        <v>111</v>
      </c>
      <c r="D44" s="177"/>
    </row>
    <row r="45" spans="1:7">
      <c r="A45" s="174" t="s">
        <v>72</v>
      </c>
      <c r="B45" s="34" t="str">
        <f t="shared" si="0"/>
        <v>-</v>
      </c>
      <c r="C45" s="35" t="s">
        <v>111</v>
      </c>
      <c r="D45" s="177"/>
    </row>
    <row r="46" spans="1:7">
      <c r="A46" s="174" t="s">
        <v>73</v>
      </c>
      <c r="B46" s="34">
        <f t="shared" si="0"/>
        <v>103.24445983379502</v>
      </c>
      <c r="C46" s="35" t="s">
        <v>111</v>
      </c>
      <c r="D46" s="177"/>
    </row>
    <row r="47" spans="1:7">
      <c r="A47" s="174" t="s">
        <v>74</v>
      </c>
      <c r="B47" s="34">
        <f t="shared" si="0"/>
        <v>1445.4224376731302</v>
      </c>
      <c r="C47" s="35" t="s">
        <v>111</v>
      </c>
      <c r="D47" s="177"/>
    </row>
    <row r="48" spans="1:7">
      <c r="A48" s="174" t="s">
        <v>75</v>
      </c>
      <c r="B48" s="34">
        <f t="shared" si="0"/>
        <v>107.8331024930748</v>
      </c>
      <c r="C48" s="34">
        <f>B48*10</f>
        <v>1078.3310249307481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1557.5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18647.547000000002</v>
      </c>
      <c r="C5" s="18">
        <f>IF(ISERROR('Eigen informatie GS &amp; warmtenet'!B58),0,'Eigen informatie GS &amp; warmtenet'!B58)</f>
        <v>0</v>
      </c>
      <c r="D5" s="31">
        <f>SUM(D6:D12)</f>
        <v>39619.983787999998</v>
      </c>
      <c r="E5" s="18">
        <f>SUM(E6:E12)</f>
        <v>122.41854745453426</v>
      </c>
      <c r="F5" s="18">
        <f>SUM(F6:F12)</f>
        <v>3283.5928279058116</v>
      </c>
      <c r="G5" s="19"/>
      <c r="H5" s="18"/>
      <c r="I5" s="18"/>
      <c r="J5" s="18">
        <f>SUM(J6:J12)</f>
        <v>0</v>
      </c>
      <c r="K5" s="18"/>
      <c r="L5" s="18"/>
      <c r="M5" s="18"/>
      <c r="N5" s="18">
        <f>SUM(N6:N12)</f>
        <v>704.76547262248278</v>
      </c>
      <c r="O5" s="18">
        <f>B38*B39*B40</f>
        <v>0</v>
      </c>
      <c r="P5" s="18">
        <f>B46*B47*B48/1000-B46*B47*B48/1000/B49</f>
        <v>0</v>
      </c>
      <c r="R5" s="33"/>
    </row>
    <row r="6" spans="1:18">
      <c r="A6" s="33" t="s">
        <v>54</v>
      </c>
      <c r="B6" s="38">
        <f>B26</f>
        <v>10061.803</v>
      </c>
      <c r="C6" s="34"/>
      <c r="D6" s="38">
        <f>IF(ISERROR(TER_kantoor_gas_kWh/1000),0,TER_kantoor_gas_kWh/1000)*0.902</f>
        <v>32550.705813999997</v>
      </c>
      <c r="E6" s="34">
        <f>$C$26*'E Balans VL '!I12/100/3.6*1000000</f>
        <v>16.513458007465285</v>
      </c>
      <c r="F6" s="34">
        <f>$C$26*('E Balans VL '!L12+'E Balans VL '!N12)/100/3.6*1000000</f>
        <v>1186.0498323315421</v>
      </c>
      <c r="G6" s="35"/>
      <c r="H6" s="34"/>
      <c r="I6" s="34"/>
      <c r="J6" s="34">
        <f>$C$26*('E Balans VL '!D12+'E Balans VL '!E12)/100/3.6*1000000</f>
        <v>0</v>
      </c>
      <c r="K6" s="34"/>
      <c r="L6" s="34"/>
      <c r="M6" s="34"/>
      <c r="N6" s="34">
        <f>$C$26*'E Balans VL '!Y12/100/3.6*1000000</f>
        <v>2.0329396496120973</v>
      </c>
      <c r="O6" s="34"/>
      <c r="P6" s="34"/>
      <c r="R6" s="33"/>
    </row>
    <row r="7" spans="1:18">
      <c r="A7" s="33" t="s">
        <v>53</v>
      </c>
      <c r="B7" s="38">
        <f t="shared" ref="B7:B12" si="0">B27</f>
        <v>1345.492</v>
      </c>
      <c r="C7" s="34"/>
      <c r="D7" s="38">
        <f>IF(ISERROR(TER_horeca_gas_kWh/1000),0,TER_horeca_gas_kWh/1000)*0.902</f>
        <v>1368.635268</v>
      </c>
      <c r="E7" s="34">
        <f>$C$27*'E Balans VL '!I9/100/3.6*1000000</f>
        <v>69.821298611541337</v>
      </c>
      <c r="F7" s="34">
        <f>$C$27*('E Balans VL '!L9+'E Balans VL '!N9)/100/3.6*1000000</f>
        <v>307.04225069383392</v>
      </c>
      <c r="G7" s="35"/>
      <c r="H7" s="34"/>
      <c r="I7" s="34"/>
      <c r="J7" s="34">
        <f>$C$27*('E Balans VL '!D9+'E Balans VL '!E9)/100/3.6*1000000</f>
        <v>0</v>
      </c>
      <c r="K7" s="34"/>
      <c r="L7" s="34"/>
      <c r="M7" s="34"/>
      <c r="N7" s="34">
        <f>$C$27*'E Balans VL '!Y9/100/3.6*1000000</f>
        <v>0.14208333860139041</v>
      </c>
      <c r="O7" s="34"/>
      <c r="P7" s="34"/>
      <c r="R7" s="33"/>
    </row>
    <row r="8" spans="1:18">
      <c r="A8" s="6" t="s">
        <v>52</v>
      </c>
      <c r="B8" s="38">
        <f t="shared" si="0"/>
        <v>4714.3180000000002</v>
      </c>
      <c r="C8" s="34"/>
      <c r="D8" s="38">
        <f>IF(ISERROR(TER_handel_gas_kWh/1000),0,TER_handel_gas_kWh/1000)*0.902</f>
        <v>2089.581318</v>
      </c>
      <c r="E8" s="34">
        <f>$C$28*'E Balans VL '!I13/100/3.6*1000000</f>
        <v>25.387181742685318</v>
      </c>
      <c r="F8" s="34">
        <f>$C$28*('E Balans VL '!L13+'E Balans VL '!N13)/100/3.6*1000000</f>
        <v>961.38953711288434</v>
      </c>
      <c r="G8" s="35"/>
      <c r="H8" s="34"/>
      <c r="I8" s="34"/>
      <c r="J8" s="34">
        <f>$C$28*('E Balans VL '!D13+'E Balans VL '!E13)/100/3.6*1000000</f>
        <v>0</v>
      </c>
      <c r="K8" s="34"/>
      <c r="L8" s="34"/>
      <c r="M8" s="34"/>
      <c r="N8" s="34">
        <f>$C$28*'E Balans VL '!Y13/100/3.6*1000000</f>
        <v>23.441813853991537</v>
      </c>
      <c r="O8" s="34"/>
      <c r="P8" s="34"/>
      <c r="R8" s="33"/>
    </row>
    <row r="9" spans="1:18">
      <c r="A9" s="33" t="s">
        <v>51</v>
      </c>
      <c r="B9" s="38">
        <f t="shared" si="0"/>
        <v>959.86500000000001</v>
      </c>
      <c r="C9" s="34"/>
      <c r="D9" s="38">
        <f>IF(ISERROR(TER_gezond_gas_kWh/1000),0,TER_gezond_gas_kWh/1000)*0.902</f>
        <v>1133.1338920000001</v>
      </c>
      <c r="E9" s="34">
        <f>$C$29*'E Balans VL '!I10/100/3.6*1000000</f>
        <v>0.9512371305396049</v>
      </c>
      <c r="F9" s="34">
        <f>$C$29*('E Balans VL '!L10+'E Balans VL '!N10)/100/3.6*1000000</f>
        <v>333.04548795280346</v>
      </c>
      <c r="G9" s="35"/>
      <c r="H9" s="34"/>
      <c r="I9" s="34"/>
      <c r="J9" s="34">
        <f>$C$29*('E Balans VL '!D10+'E Balans VL '!E10)/100/3.6*1000000</f>
        <v>0</v>
      </c>
      <c r="K9" s="34"/>
      <c r="L9" s="34"/>
      <c r="M9" s="34"/>
      <c r="N9" s="34">
        <f>$C$29*'E Balans VL '!Y10/100/3.6*1000000</f>
        <v>8.2710735522937089</v>
      </c>
      <c r="O9" s="34"/>
      <c r="P9" s="34"/>
      <c r="R9" s="33"/>
    </row>
    <row r="10" spans="1:18">
      <c r="A10" s="33" t="s">
        <v>50</v>
      </c>
      <c r="B10" s="38">
        <f t="shared" si="0"/>
        <v>1160.6780000000001</v>
      </c>
      <c r="C10" s="34"/>
      <c r="D10" s="38">
        <f>IF(ISERROR(TER_ander_gas_kWh/1000),0,TER_ander_gas_kWh/1000)*0.902</f>
        <v>2466.0896480000001</v>
      </c>
      <c r="E10" s="34">
        <f>$C$30*'E Balans VL '!I14/100/3.6*1000000</f>
        <v>9.495506055047235</v>
      </c>
      <c r="F10" s="34">
        <f>$C$30*('E Balans VL '!L14+'E Balans VL '!N14)/100/3.6*1000000</f>
        <v>339.33499404155958</v>
      </c>
      <c r="G10" s="35"/>
      <c r="H10" s="34"/>
      <c r="I10" s="34"/>
      <c r="J10" s="34">
        <f>$C$30*('E Balans VL '!D14+'E Balans VL '!E14)/100/3.6*1000000</f>
        <v>0</v>
      </c>
      <c r="K10" s="34"/>
      <c r="L10" s="34"/>
      <c r="M10" s="34"/>
      <c r="N10" s="34">
        <f>$C$30*'E Balans VL '!Y14/100/3.6*1000000</f>
        <v>669.55891217842054</v>
      </c>
      <c r="O10" s="34"/>
      <c r="P10" s="34"/>
      <c r="R10" s="33"/>
    </row>
    <row r="11" spans="1:18">
      <c r="A11" s="33" t="s">
        <v>55</v>
      </c>
      <c r="B11" s="38">
        <f t="shared" si="0"/>
        <v>405.39100000000002</v>
      </c>
      <c r="C11" s="34"/>
      <c r="D11" s="38">
        <f>IF(ISERROR(TER_onderwijs_gas_kWh/1000),0,TER_onderwijs_gas_kWh/1000)*0.902</f>
        <v>0</v>
      </c>
      <c r="E11" s="34">
        <f>$C$31*'E Balans VL '!I11/100/3.6*1000000</f>
        <v>0.24986590725548014</v>
      </c>
      <c r="F11" s="34">
        <f>$C$31*('E Balans VL '!L11+'E Balans VL '!N11)/100/3.6*1000000</f>
        <v>156.73072577318817</v>
      </c>
      <c r="G11" s="35"/>
      <c r="H11" s="34"/>
      <c r="I11" s="34"/>
      <c r="J11" s="34">
        <f>$C$31*('E Balans VL '!D11+'E Balans VL '!E11)/100/3.6*1000000</f>
        <v>0</v>
      </c>
      <c r="K11" s="34"/>
      <c r="L11" s="34"/>
      <c r="M11" s="34"/>
      <c r="N11" s="34">
        <f>$C$31*'E Balans VL '!Y11/100/3.6*1000000</f>
        <v>1.3186500495635729</v>
      </c>
      <c r="O11" s="34"/>
      <c r="P11" s="34"/>
      <c r="R11" s="33"/>
    </row>
    <row r="12" spans="1:18">
      <c r="A12" s="33" t="s">
        <v>260</v>
      </c>
      <c r="B12" s="38">
        <f t="shared" si="0"/>
        <v>0</v>
      </c>
      <c r="C12" s="34"/>
      <c r="D12" s="38">
        <f>IF(ISERROR(TER_rest_gas_kWh/1000),0,TER_rest_gas_kWh/1000)*0.902</f>
        <v>11.837848000000001</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1323</v>
      </c>
      <c r="C13" s="250">
        <f ca="1">'lokale energieproductie'!O91+'lokale energieproductie'!O60</f>
        <v>1890</v>
      </c>
      <c r="D13" s="312">
        <f ca="1">('lokale energieproductie'!P60+'lokale energieproductie'!P91)*(-1)</f>
        <v>-3780.0000000000005</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19970.547000000002</v>
      </c>
      <c r="C16" s="22">
        <f t="shared" ca="1" si="1"/>
        <v>1890</v>
      </c>
      <c r="D16" s="22">
        <f t="shared" ca="1" si="1"/>
        <v>35839.983787999998</v>
      </c>
      <c r="E16" s="22">
        <f t="shared" si="1"/>
        <v>122.41854745453426</v>
      </c>
      <c r="F16" s="22">
        <f t="shared" ca="1" si="1"/>
        <v>3283.5928279058116</v>
      </c>
      <c r="G16" s="22">
        <f t="shared" si="1"/>
        <v>0</v>
      </c>
      <c r="H16" s="22">
        <f t="shared" si="1"/>
        <v>0</v>
      </c>
      <c r="I16" s="22">
        <f t="shared" si="1"/>
        <v>0</v>
      </c>
      <c r="J16" s="22">
        <f t="shared" si="1"/>
        <v>0</v>
      </c>
      <c r="K16" s="22">
        <f t="shared" si="1"/>
        <v>0</v>
      </c>
      <c r="L16" s="22">
        <f t="shared" ca="1" si="1"/>
        <v>0</v>
      </c>
      <c r="M16" s="22">
        <f t="shared" si="1"/>
        <v>0</v>
      </c>
      <c r="N16" s="22">
        <f t="shared" ca="1" si="1"/>
        <v>704.76547262248278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0.20982348037854592</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4190.28967660333</v>
      </c>
      <c r="C20" s="24">
        <f t="shared" ref="C20:P20" ca="1" si="2">C16*C18</f>
        <v>449.15294117647068</v>
      </c>
      <c r="D20" s="24">
        <f t="shared" ca="1" si="2"/>
        <v>7239.6767251760002</v>
      </c>
      <c r="E20" s="24">
        <f t="shared" si="2"/>
        <v>27.789010272179279</v>
      </c>
      <c r="F20" s="24">
        <f t="shared" ca="1" si="2"/>
        <v>876.71928505085179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10061.803</v>
      </c>
      <c r="C26" s="40">
        <f>IF(ISERROR(B26*3.6/1000000/'E Balans VL '!Z12*100),0,B26*3.6/1000000/'E Balans VL '!Z12*100)</f>
        <v>0.21380609811871309</v>
      </c>
      <c r="D26" s="240" t="s">
        <v>707</v>
      </c>
      <c r="F26" s="6"/>
    </row>
    <row r="27" spans="1:18">
      <c r="A27" s="234" t="s">
        <v>53</v>
      </c>
      <c r="B27" s="34">
        <f>IF(ISERROR(TER_horeca_ele_kWh/1000),0,TER_horeca_ele_kWh/1000)</f>
        <v>1345.492</v>
      </c>
      <c r="C27" s="40">
        <f>IF(ISERROR(B27*3.6/1000000/'E Balans VL '!Z9*100),0,B27*3.6/1000000/'E Balans VL '!Z9*100)</f>
        <v>0.10590062504451461</v>
      </c>
      <c r="D27" s="240" t="s">
        <v>707</v>
      </c>
      <c r="F27" s="6"/>
    </row>
    <row r="28" spans="1:18">
      <c r="A28" s="174" t="s">
        <v>52</v>
      </c>
      <c r="B28" s="34">
        <f>IF(ISERROR(TER_handel_ele_kWh/1000),0,TER_handel_ele_kWh/1000)</f>
        <v>4714.3180000000002</v>
      </c>
      <c r="C28" s="40">
        <f>IF(ISERROR(B28*3.6/1000000/'E Balans VL '!Z13*100),0,B28*3.6/1000000/'E Balans VL '!Z13*100)</f>
        <v>0.13205057018338615</v>
      </c>
      <c r="D28" s="240" t="s">
        <v>707</v>
      </c>
      <c r="F28" s="6"/>
    </row>
    <row r="29" spans="1:18">
      <c r="A29" s="234" t="s">
        <v>51</v>
      </c>
      <c r="B29" s="34">
        <f>IF(ISERROR(TER_gezond_ele_kWh/1000),0,TER_gezond_ele_kWh/1000)</f>
        <v>959.86500000000001</v>
      </c>
      <c r="C29" s="40">
        <f>IF(ISERROR(B29*3.6/1000000/'E Balans VL '!Z10*100),0,B29*3.6/1000000/'E Balans VL '!Z10*100)</f>
        <v>0.12279575864862981</v>
      </c>
      <c r="D29" s="240" t="s">
        <v>707</v>
      </c>
      <c r="F29" s="6"/>
    </row>
    <row r="30" spans="1:18">
      <c r="A30" s="234" t="s">
        <v>50</v>
      </c>
      <c r="B30" s="34">
        <f>IF(ISERROR(TER_ander_ele_kWh/1000),0,TER_ander_ele_kWh/1000)</f>
        <v>1160.6780000000001</v>
      </c>
      <c r="C30" s="40">
        <f>IF(ISERROR(B30*3.6/1000000/'E Balans VL '!Z14*100),0,B30*3.6/1000000/'E Balans VL '!Z14*100)</f>
        <v>8.680893435632539E-2</v>
      </c>
      <c r="D30" s="240" t="s">
        <v>707</v>
      </c>
      <c r="F30" s="6"/>
    </row>
    <row r="31" spans="1:18">
      <c r="A31" s="234" t="s">
        <v>55</v>
      </c>
      <c r="B31" s="34">
        <f>IF(ISERROR(TER_onderwijs_ele_kWh/1000),0,TER_onderwijs_ele_kWh/1000)</f>
        <v>405.39100000000002</v>
      </c>
      <c r="C31" s="40">
        <f>IF(ISERROR(B31*3.6/1000000/'E Balans VL '!Z11*100),0,B31*3.6/1000000/'E Balans VL '!Z11*100)</f>
        <v>8.5598834765567872E-2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2029.402</v>
      </c>
      <c r="C5" s="18">
        <f>IF(ISERROR('Eigen informatie GS &amp; warmtenet'!B59),0,'Eigen informatie GS &amp; warmtenet'!B59)</f>
        <v>0</v>
      </c>
      <c r="D5" s="31">
        <f>SUM(D6:D15)</f>
        <v>1435.505038</v>
      </c>
      <c r="E5" s="18">
        <f>SUM(E6:E15)</f>
        <v>25.399753327870201</v>
      </c>
      <c r="F5" s="18">
        <f>SUM(F6:F15)</f>
        <v>884.07079506840171</v>
      </c>
      <c r="G5" s="19"/>
      <c r="H5" s="18"/>
      <c r="I5" s="18"/>
      <c r="J5" s="18">
        <f>SUM(J6:J15)</f>
        <v>4.4892718740133066</v>
      </c>
      <c r="K5" s="18"/>
      <c r="L5" s="18"/>
      <c r="M5" s="18"/>
      <c r="N5" s="18">
        <f>SUM(N6:N15)</f>
        <v>89.086550150074316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60.939</v>
      </c>
      <c r="C8" s="34"/>
      <c r="D8" s="38">
        <f>IF( ISERROR(IND_metaal_Gas_kWH/1000),0,IND_metaal_Gas_kWH/1000)*0.902</f>
        <v>140.138328</v>
      </c>
      <c r="E8" s="34">
        <f>C30*'E Balans VL '!I18/100/3.6*1000000</f>
        <v>0.55496049103933309</v>
      </c>
      <c r="F8" s="34">
        <f>C30*'E Balans VL '!L18/100/3.6*1000000+C30*'E Balans VL '!N18/100/3.6*1000000</f>
        <v>8.0373913212855257</v>
      </c>
      <c r="G8" s="35"/>
      <c r="H8" s="34"/>
      <c r="I8" s="34"/>
      <c r="J8" s="41">
        <f>C30*'E Balans VL '!D18/100/3.6*1000000+C30*'E Balans VL '!E18/100/3.6*1000000</f>
        <v>0.99931111975807807</v>
      </c>
      <c r="K8" s="34"/>
      <c r="L8" s="34"/>
      <c r="M8" s="34"/>
      <c r="N8" s="34">
        <f>C30*'E Balans VL '!Y18/100/3.6*1000000</f>
        <v>0.20942313504434806</v>
      </c>
      <c r="O8" s="34"/>
      <c r="P8" s="34"/>
      <c r="R8" s="33"/>
    </row>
    <row r="9" spans="1:18">
      <c r="A9" s="6" t="s">
        <v>33</v>
      </c>
      <c r="B9" s="38">
        <f t="shared" si="0"/>
        <v>833.08500000000004</v>
      </c>
      <c r="C9" s="34"/>
      <c r="D9" s="38">
        <f>IF( ISERROR(IND_andere_gas_kWh/1000),0,IND_andere_gas_kWh/1000)*0.902</f>
        <v>604.22634800000003</v>
      </c>
      <c r="E9" s="34">
        <f>C31*'E Balans VL '!I19/100/3.6*1000000</f>
        <v>4.8153557942559591</v>
      </c>
      <c r="F9" s="34">
        <f>C31*'E Balans VL '!L19/100/3.6*1000000+C31*'E Balans VL '!N19/100/3.6*1000000</f>
        <v>662.75920396392019</v>
      </c>
      <c r="G9" s="35"/>
      <c r="H9" s="34"/>
      <c r="I9" s="34"/>
      <c r="J9" s="41">
        <f>C31*'E Balans VL '!D19/100/3.6*1000000+C31*'E Balans VL '!E19/100/3.6*1000000</f>
        <v>7.8800587353918386E-2</v>
      </c>
      <c r="K9" s="34"/>
      <c r="L9" s="34"/>
      <c r="M9" s="34"/>
      <c r="N9" s="34">
        <f>C31*'E Balans VL '!Y19/100/3.6*1000000</f>
        <v>63.118796081270759</v>
      </c>
      <c r="O9" s="34"/>
      <c r="P9" s="34"/>
      <c r="R9" s="33"/>
    </row>
    <row r="10" spans="1:18">
      <c r="A10" s="6" t="s">
        <v>41</v>
      </c>
      <c r="B10" s="38">
        <f t="shared" si="0"/>
        <v>569.08199999999999</v>
      </c>
      <c r="C10" s="34"/>
      <c r="D10" s="38">
        <f>IF( ISERROR(IND_voed_gas_kWh/1000),0,IND_voed_gas_kWh/1000)*0.902</f>
        <v>600.19801600000005</v>
      </c>
      <c r="E10" s="34">
        <f>C32*'E Balans VL '!I20/100/3.6*1000000</f>
        <v>5.595564864622478</v>
      </c>
      <c r="F10" s="34">
        <f>C32*'E Balans VL '!L20/100/3.6*1000000+C32*'E Balans VL '!N20/100/3.6*1000000</f>
        <v>63.203984124975669</v>
      </c>
      <c r="G10" s="35"/>
      <c r="H10" s="34"/>
      <c r="I10" s="34"/>
      <c r="J10" s="41">
        <f>C32*'E Balans VL '!D20/100/3.6*1000000+C32*'E Balans VL '!E20/100/3.6*1000000</f>
        <v>2.2430105096826252E-3</v>
      </c>
      <c r="K10" s="34"/>
      <c r="L10" s="34"/>
      <c r="M10" s="34"/>
      <c r="N10" s="34">
        <f>C32*'E Balans VL '!Y20/100/3.6*1000000</f>
        <v>8.4267657980349036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501.34100000000001</v>
      </c>
      <c r="C12" s="34"/>
      <c r="D12" s="38">
        <f>IF( ISERROR(IND_min_gas_kWh/1000),0,IND_min_gas_kWh/1000)*0.902</f>
        <v>0</v>
      </c>
      <c r="E12" s="34">
        <f>C34*'E Balans VL '!I22/100/3.6*1000000</f>
        <v>12.709886483841835</v>
      </c>
      <c r="F12" s="34">
        <f>C34*'E Balans VL '!L22/100/3.6*1000000+C34*'E Balans VL '!N22/100/3.6*1000000</f>
        <v>138.72280216931495</v>
      </c>
      <c r="G12" s="35"/>
      <c r="H12" s="34"/>
      <c r="I12" s="34"/>
      <c r="J12" s="41">
        <f>C34*'E Balans VL '!D22/100/3.6*1000000+C34*'E Balans VL '!E22/100/3.6*1000000</f>
        <v>3.3109567089391114</v>
      </c>
      <c r="K12" s="34"/>
      <c r="L12" s="34"/>
      <c r="M12" s="34"/>
      <c r="N12" s="34">
        <f>C34*'E Balans VL '!Y22/100/3.6*1000000</f>
        <v>0</v>
      </c>
      <c r="O12" s="34"/>
      <c r="P12" s="34"/>
      <c r="R12" s="33"/>
    </row>
    <row r="13" spans="1:18">
      <c r="A13" s="6" t="s">
        <v>39</v>
      </c>
      <c r="B13" s="38">
        <f t="shared" si="0"/>
        <v>45.475000000000001</v>
      </c>
      <c r="C13" s="34"/>
      <c r="D13" s="38">
        <f>IF( ISERROR(IND_papier_gas_kWh/1000),0,IND_papier_gas_kWh/1000)*0.902</f>
        <v>90.942346000000001</v>
      </c>
      <c r="E13" s="34">
        <f>C35*'E Balans VL '!I23/100/3.6*1000000</f>
        <v>1.5489444344871706</v>
      </c>
      <c r="F13" s="34">
        <f>C35*'E Balans VL '!L23/100/3.6*1000000+C35*'E Balans VL '!N23/100/3.6*1000000</f>
        <v>7.5114027247237081</v>
      </c>
      <c r="G13" s="35"/>
      <c r="H13" s="34"/>
      <c r="I13" s="34"/>
      <c r="J13" s="41">
        <f>C35*'E Balans VL '!D23/100/3.6*1000000+C35*'E Balans VL '!E23/100/3.6*1000000</f>
        <v>0</v>
      </c>
      <c r="K13" s="34"/>
      <c r="L13" s="34"/>
      <c r="M13" s="34"/>
      <c r="N13" s="34">
        <f>C35*'E Balans VL '!Y23/100/3.6*1000000</f>
        <v>16.733580455039192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19.48</v>
      </c>
      <c r="C15" s="34"/>
      <c r="D15" s="38">
        <f>IF( ISERROR(IND_rest_gas_kWh/1000),0,IND_rest_gas_kWh/1000)*0.902</f>
        <v>0</v>
      </c>
      <c r="E15" s="34">
        <f>C37*'E Balans VL '!I15/100/3.6*1000000</f>
        <v>0.1750412596234249</v>
      </c>
      <c r="F15" s="34">
        <f>C37*'E Balans VL '!L15/100/3.6*1000000+C37*'E Balans VL '!N15/100/3.6*1000000</f>
        <v>3.8360107641816996</v>
      </c>
      <c r="G15" s="35"/>
      <c r="H15" s="34"/>
      <c r="I15" s="34"/>
      <c r="J15" s="41">
        <f>C37*'E Balans VL '!D15/100/3.6*1000000+C37*'E Balans VL '!E15/100/3.6*1000000</f>
        <v>9.7960447452516586E-2</v>
      </c>
      <c r="K15" s="34"/>
      <c r="L15" s="34"/>
      <c r="M15" s="34"/>
      <c r="N15" s="34">
        <f>C37*'E Balans VL '!Y15/100/3.6*1000000</f>
        <v>0.59798468068511867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2029.402</v>
      </c>
      <c r="C18" s="22">
        <f>C5+C16</f>
        <v>0</v>
      </c>
      <c r="D18" s="22">
        <f>MAX((D5+D16),0)</f>
        <v>1435.505038</v>
      </c>
      <c r="E18" s="22">
        <f>MAX((E5+E16),0)</f>
        <v>25.399753327870201</v>
      </c>
      <c r="F18" s="22">
        <f>MAX((F5+F16),0)</f>
        <v>884.07079506840171</v>
      </c>
      <c r="G18" s="22"/>
      <c r="H18" s="22"/>
      <c r="I18" s="22"/>
      <c r="J18" s="22">
        <f>MAX((J5+J16),0)</f>
        <v>4.4892718740133066</v>
      </c>
      <c r="K18" s="22"/>
      <c r="L18" s="22">
        <f>MAX((L5+L16),0)</f>
        <v>0</v>
      </c>
      <c r="M18" s="22"/>
      <c r="N18" s="22">
        <f>MAX((N5+N16),0)</f>
        <v>89.086550150074316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0.20982348037854592</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425.81619072718189</v>
      </c>
      <c r="C22" s="24">
        <f ca="1">C18*C20</f>
        <v>0</v>
      </c>
      <c r="D22" s="24">
        <f>D18*D20</f>
        <v>289.97201767600001</v>
      </c>
      <c r="E22" s="24">
        <f>E18*E20</f>
        <v>5.7657440054265354</v>
      </c>
      <c r="F22" s="24">
        <f>F18*F20</f>
        <v>236.04690228326328</v>
      </c>
      <c r="G22" s="24"/>
      <c r="H22" s="24"/>
      <c r="I22" s="24"/>
      <c r="J22" s="24">
        <f>J18*J20</f>
        <v>1.5892022434007105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60.939</v>
      </c>
      <c r="C30" s="40">
        <f>IF(ISERROR(B30*3.6/1000000/'E Balans VL '!Z18*100),0,B30*3.6/1000000/'E Balans VL '!Z18*100)</f>
        <v>3.390847854403206E-3</v>
      </c>
      <c r="D30" s="240" t="s">
        <v>707</v>
      </c>
    </row>
    <row r="31" spans="1:18">
      <c r="A31" s="6" t="s">
        <v>33</v>
      </c>
      <c r="B31" s="38">
        <f>IF( ISERROR(IND_ander_ele_kWh/1000),0,IND_ander_ele_kWh/1000)</f>
        <v>833.08500000000004</v>
      </c>
      <c r="C31" s="40">
        <f>IF(ISERROR(B31*3.6/1000000/'E Balans VL '!Z19*100),0,B31*3.6/1000000/'E Balans VL '!Z19*100)</f>
        <v>3.8727933716601534E-2</v>
      </c>
      <c r="D31" s="240" t="s">
        <v>707</v>
      </c>
    </row>
    <row r="32" spans="1:18">
      <c r="A32" s="174" t="s">
        <v>41</v>
      </c>
      <c r="B32" s="38">
        <f>IF( ISERROR(IND_voed_ele_kWh/1000),0,IND_voed_ele_kWh/1000)</f>
        <v>569.08199999999999</v>
      </c>
      <c r="C32" s="40">
        <f>IF(ISERROR(B32*3.6/1000000/'E Balans VL '!Z20*100),0,B32*3.6/1000000/'E Balans VL '!Z20*100)</f>
        <v>2.0115899390227232E-2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501.34100000000001</v>
      </c>
      <c r="C34" s="40">
        <f>IF(ISERROR(B34*3.6/1000000/'E Balans VL '!Z22*100),0,B34*3.6/1000000/'E Balans VL '!Z22*100)</f>
        <v>0.10075540366141728</v>
      </c>
      <c r="D34" s="240" t="s">
        <v>707</v>
      </c>
    </row>
    <row r="35" spans="1:5">
      <c r="A35" s="174" t="s">
        <v>39</v>
      </c>
      <c r="B35" s="38">
        <f>IF( ISERROR(IND_papier_ele_kWh/1000),0,IND_papier_ele_kWh/1000)</f>
        <v>45.475000000000001</v>
      </c>
      <c r="C35" s="40">
        <f>IF(ISERROR(B35*3.6/1000000/'E Balans VL '!Z22*100),0,B35*3.6/1000000/'E Balans VL '!Z22*100)</f>
        <v>9.1391926483230992E-3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19.48</v>
      </c>
      <c r="C37" s="40">
        <f>IF(ISERROR(B37*3.6/1000000/'E Balans VL '!Z15*100),0,B37*3.6/1000000/'E Balans VL '!Z15*100)</f>
        <v>1.4710277631140901E-4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126.334</v>
      </c>
      <c r="C5" s="18">
        <f>'Eigen informatie GS &amp; warmtenet'!B60</f>
        <v>0</v>
      </c>
      <c r="D5" s="31">
        <f>IF(ISERROR(SUM(LB_lb_gas_kWh,LB_rest_gas_kWh)/1000),0,SUM(LB_lb_gas_kWh,LB_rest_gas_kWh)/1000)*0.902</f>
        <v>28.091888000000001</v>
      </c>
      <c r="E5" s="18">
        <f>B17*'E Balans VL '!I25/3.6*1000000/100</f>
        <v>1.1901509265566692</v>
      </c>
      <c r="F5" s="18">
        <f>B17*('E Balans VL '!L25/3.6*1000000+'E Balans VL '!N25/3.6*1000000)/100</f>
        <v>412.26976857247161</v>
      </c>
      <c r="G5" s="19"/>
      <c r="H5" s="18"/>
      <c r="I5" s="18"/>
      <c r="J5" s="18">
        <f>('E Balans VL '!D25+'E Balans VL '!E25)/3.6*1000000*landbouw!B17/100</f>
        <v>15.628130288457962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126.334</v>
      </c>
      <c r="C8" s="22">
        <f>C5+C6</f>
        <v>0</v>
      </c>
      <c r="D8" s="22">
        <f>MAX((D5+D6),0)</f>
        <v>28.091888000000001</v>
      </c>
      <c r="E8" s="22">
        <f>MAX((E5+E6),0)</f>
        <v>1.1901509265566692</v>
      </c>
      <c r="F8" s="22">
        <f>MAX((F5+F6),0)</f>
        <v>412.26976857247161</v>
      </c>
      <c r="G8" s="22"/>
      <c r="H8" s="22"/>
      <c r="I8" s="22"/>
      <c r="J8" s="22">
        <f>MAX((J5+J6),0)</f>
        <v>15.628130288457962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0.20982348037854592</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26.507839570143222</v>
      </c>
      <c r="C12" s="24">
        <f ca="1">C8*C10</f>
        <v>0</v>
      </c>
      <c r="D12" s="24">
        <f>D8*D10</f>
        <v>5.6745613760000007</v>
      </c>
      <c r="E12" s="24">
        <f>E8*E10</f>
        <v>0.27016426032836394</v>
      </c>
      <c r="F12" s="24">
        <f>F8*F10</f>
        <v>110.07602820884992</v>
      </c>
      <c r="G12" s="24"/>
      <c r="H12" s="24"/>
      <c r="I12" s="24"/>
      <c r="J12" s="24">
        <f>J8*J10</f>
        <v>5.5323581221141183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1.7103604847213408E-2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11.03729193478588</v>
      </c>
      <c r="C26" s="250">
        <f>B26*'GWP N2O_CH4'!B5</f>
        <v>231.78313063050348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2.7915125489729391</v>
      </c>
      <c r="C27" s="250">
        <f>B27*'GWP N2O_CH4'!B5</f>
        <v>58.621763528431721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0.14857409257795731</v>
      </c>
      <c r="C28" s="250">
        <f>B28*'GWP N2O_CH4'!B4</f>
        <v>46.057968699166764</v>
      </c>
      <c r="D28" s="51"/>
    </row>
    <row r="29" spans="1:4">
      <c r="A29" s="42" t="s">
        <v>277</v>
      </c>
      <c r="B29" s="250">
        <f>B34*'ha_N2O bodem landbouw'!B4</f>
        <v>2.2061459416561866</v>
      </c>
      <c r="C29" s="250">
        <f>B29*'GWP N2O_CH4'!B4</f>
        <v>683.90524191341785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5.9558995418424279E-4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6.1658352567812764E-6</v>
      </c>
      <c r="C5" s="447" t="s">
        <v>211</v>
      </c>
      <c r="D5" s="432">
        <f>SUM(D6:D11)</f>
        <v>1.8320062643515904E-5</v>
      </c>
      <c r="E5" s="432">
        <f>SUM(E6:E11)</f>
        <v>1.0498260770085278E-3</v>
      </c>
      <c r="F5" s="445" t="s">
        <v>211</v>
      </c>
      <c r="G5" s="432">
        <f>SUM(G6:G11)</f>
        <v>0.18564409733169965</v>
      </c>
      <c r="H5" s="432">
        <f>SUM(H6:H11)</f>
        <v>4.0453443567746987E-2</v>
      </c>
      <c r="I5" s="447" t="s">
        <v>211</v>
      </c>
      <c r="J5" s="447" t="s">
        <v>211</v>
      </c>
      <c r="K5" s="447" t="s">
        <v>211</v>
      </c>
      <c r="L5" s="447" t="s">
        <v>211</v>
      </c>
      <c r="M5" s="432">
        <f>SUM(M6:M11)</f>
        <v>1.011722444553202E-2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4.4833408088010667E-6</v>
      </c>
      <c r="C6" s="433"/>
      <c r="D6" s="433">
        <f>vkm_2011_GW_PW*SUMIFS(TableVerdeelsleutelVkm[CNG],TableVerdeelsleutelVkm[Voertuigtype],"Lichte voertuigen")*SUMIFS(TableECFTransport[EnergieConsumptieFactor (PJ per km)],TableECFTransport[Index],CONCATENATE($A6,"_CNG_CNG"))</f>
        <v>1.0948393338077974E-5</v>
      </c>
      <c r="E6" s="435">
        <f>vkm_2011_GW_PW*SUMIFS(TableVerdeelsleutelVkm[LPG],TableVerdeelsleutelVkm[Voertuigtype],"Lichte voertuigen")*SUMIFS(TableECFTransport[EnergieConsumptieFactor (PJ per km)],TableECFTransport[Index],CONCATENATE($A6,"_LPG_LPG"))</f>
        <v>6.4896417730607545E-4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9.3815405904369306E-2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2.458632262085057E-2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5.3022474535163195E-3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3.4658194002210964E-2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1.3983230070482729E-5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1.5440118196283577E-3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1.6824944479802099E-6</v>
      </c>
      <c r="C8" s="433"/>
      <c r="D8" s="435">
        <f>vkm_2011_NGW_PW*SUMIFS(TableVerdeelsleutelVkm[CNG],TableVerdeelsleutelVkm[Voertuigtype],"Lichte voertuigen")*SUMIFS(TableECFTransport[EnergieConsumptieFactor (PJ per km)],TableECFTransport[Index],CONCATENATE($A8,"_CNG_CNG"))</f>
        <v>7.3716693054379321E-6</v>
      </c>
      <c r="E8" s="435">
        <f>vkm_2011_NGW_PW*SUMIFS(TableVerdeelsleutelVkm[LPG],TableVerdeelsleutelVkm[Voertuigtype],"Lichte voertuigen")*SUMIFS(TableECFTransport[EnergieConsumptieFactor (PJ per km)],TableECFTransport[Index],CONCATENATE($A8,"_LPG_LPG"))</f>
        <v>4.0086189970245237E-4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5.4743835000766954E-2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1.5852285250389522E-2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3.1628639025023599E-3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2.4266624243523991E-3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8.5246643641242786E-7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1.0810126988498387E-4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1.7127320157725767</v>
      </c>
      <c r="C14" s="22"/>
      <c r="D14" s="22">
        <f t="shared" ref="D14:M14" si="0">((D5)*10^9/3600)+D12</f>
        <v>5.0889062898655286</v>
      </c>
      <c r="E14" s="22">
        <f t="shared" si="0"/>
        <v>291.61835472459109</v>
      </c>
      <c r="F14" s="22"/>
      <c r="G14" s="22">
        <f t="shared" si="0"/>
        <v>51567.804814361014</v>
      </c>
      <c r="H14" s="22">
        <f t="shared" si="0"/>
        <v>11237.067657707497</v>
      </c>
      <c r="I14" s="22"/>
      <c r="J14" s="22"/>
      <c r="K14" s="22"/>
      <c r="L14" s="22"/>
      <c r="M14" s="22">
        <f t="shared" si="0"/>
        <v>2810.3401237588946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0.20982348037854592</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0.35937139250516464</v>
      </c>
      <c r="C18" s="24"/>
      <c r="D18" s="24">
        <f t="shared" ref="D18:M18" si="1">D14*D16</f>
        <v>1.0279590705528368</v>
      </c>
      <c r="E18" s="24">
        <f t="shared" si="1"/>
        <v>66.197366522482184</v>
      </c>
      <c r="F18" s="24"/>
      <c r="G18" s="24">
        <f t="shared" si="1"/>
        <v>13768.603885434391</v>
      </c>
      <c r="H18" s="24">
        <f t="shared" si="1"/>
        <v>2798.0298467691669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4.749802096010826E-3</v>
      </c>
      <c r="H50" s="323">
        <f t="shared" si="2"/>
        <v>0</v>
      </c>
      <c r="I50" s="323">
        <f t="shared" si="2"/>
        <v>0</v>
      </c>
      <c r="J50" s="323">
        <f t="shared" si="2"/>
        <v>0</v>
      </c>
      <c r="K50" s="323">
        <f t="shared" si="2"/>
        <v>0</v>
      </c>
      <c r="L50" s="323">
        <f t="shared" si="2"/>
        <v>0</v>
      </c>
      <c r="M50" s="323">
        <f t="shared" si="2"/>
        <v>2.085716453244986E-4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4.749802096010826E-3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2.085716453244986E-4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1319.3894711141181</v>
      </c>
      <c r="H54" s="22">
        <f t="shared" si="3"/>
        <v>0</v>
      </c>
      <c r="I54" s="22">
        <f t="shared" si="3"/>
        <v>0</v>
      </c>
      <c r="J54" s="22">
        <f t="shared" si="3"/>
        <v>0</v>
      </c>
      <c r="K54" s="22">
        <f t="shared" si="3"/>
        <v>0</v>
      </c>
      <c r="L54" s="22">
        <f t="shared" si="3"/>
        <v>0</v>
      </c>
      <c r="M54" s="22">
        <f t="shared" si="3"/>
        <v>57.936568145694054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0.20982348037854592</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352.27698878746958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20791.066000000003</v>
      </c>
      <c r="D10" s="688">
        <f ca="1">tertiair!C16</f>
        <v>1890</v>
      </c>
      <c r="E10" s="688">
        <f ca="1">tertiair!D16</f>
        <v>35839.983787999998</v>
      </c>
      <c r="F10" s="688">
        <f>tertiair!E16</f>
        <v>122.41854745453426</v>
      </c>
      <c r="G10" s="688">
        <f ca="1">tertiair!F16</f>
        <v>3283.5928279058116</v>
      </c>
      <c r="H10" s="688">
        <f>tertiair!G16</f>
        <v>0</v>
      </c>
      <c r="I10" s="688">
        <f>tertiair!H16</f>
        <v>0</v>
      </c>
      <c r="J10" s="688">
        <f>tertiair!I16</f>
        <v>0</v>
      </c>
      <c r="K10" s="688">
        <f>tertiair!J16</f>
        <v>0</v>
      </c>
      <c r="L10" s="688">
        <f>tertiair!K16</f>
        <v>0</v>
      </c>
      <c r="M10" s="688">
        <f ca="1">tertiair!L16</f>
        <v>0</v>
      </c>
      <c r="N10" s="688">
        <f>tertiair!M16</f>
        <v>0</v>
      </c>
      <c r="O10" s="688">
        <f ca="1">tertiair!N16</f>
        <v>704.76547262248278</v>
      </c>
      <c r="P10" s="688">
        <f>tertiair!O16</f>
        <v>0</v>
      </c>
      <c r="Q10" s="689">
        <f>tertiair!P16</f>
        <v>0</v>
      </c>
      <c r="R10" s="691">
        <f ca="1">SUM(C10:Q10)</f>
        <v>62631.826635982841</v>
      </c>
      <c r="S10" s="68"/>
    </row>
    <row r="11" spans="1:19" s="457" customFormat="1">
      <c r="A11" s="803" t="s">
        <v>225</v>
      </c>
      <c r="B11" s="808"/>
      <c r="C11" s="688">
        <f>huishoudens!B8</f>
        <v>29179.648418300141</v>
      </c>
      <c r="D11" s="688">
        <f>huishoudens!C8</f>
        <v>0</v>
      </c>
      <c r="E11" s="688">
        <f>huishoudens!D8</f>
        <v>43272.529960000007</v>
      </c>
      <c r="F11" s="688">
        <f>huishoudens!E8</f>
        <v>2275.1393126407061</v>
      </c>
      <c r="G11" s="688">
        <f>huishoudens!F8</f>
        <v>30744.869781109755</v>
      </c>
      <c r="H11" s="688">
        <f>huishoudens!G8</f>
        <v>0</v>
      </c>
      <c r="I11" s="688">
        <f>huishoudens!H8</f>
        <v>0</v>
      </c>
      <c r="J11" s="688">
        <f>huishoudens!I8</f>
        <v>0</v>
      </c>
      <c r="K11" s="688">
        <f>huishoudens!J8</f>
        <v>0</v>
      </c>
      <c r="L11" s="688">
        <f>huishoudens!K8</f>
        <v>0</v>
      </c>
      <c r="M11" s="688">
        <f>huishoudens!L8</f>
        <v>0</v>
      </c>
      <c r="N11" s="688">
        <f>huishoudens!M8</f>
        <v>0</v>
      </c>
      <c r="O11" s="688">
        <f>huishoudens!N8</f>
        <v>7716.9941929091847</v>
      </c>
      <c r="P11" s="688">
        <f>huishoudens!O8</f>
        <v>84.42</v>
      </c>
      <c r="Q11" s="689">
        <f>huishoudens!P8</f>
        <v>171.6</v>
      </c>
      <c r="R11" s="691">
        <f>SUM(C11:Q11)</f>
        <v>113445.20166495979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2029.402</v>
      </c>
      <c r="D13" s="688">
        <f>industrie!C18</f>
        <v>0</v>
      </c>
      <c r="E13" s="688">
        <f>industrie!D18</f>
        <v>1435.505038</v>
      </c>
      <c r="F13" s="688">
        <f>industrie!E18</f>
        <v>25.399753327870201</v>
      </c>
      <c r="G13" s="688">
        <f>industrie!F18</f>
        <v>884.07079506840171</v>
      </c>
      <c r="H13" s="688">
        <f>industrie!G18</f>
        <v>0</v>
      </c>
      <c r="I13" s="688">
        <f>industrie!H18</f>
        <v>0</v>
      </c>
      <c r="J13" s="688">
        <f>industrie!I18</f>
        <v>0</v>
      </c>
      <c r="K13" s="688">
        <f>industrie!J18</f>
        <v>4.4892718740133066</v>
      </c>
      <c r="L13" s="688">
        <f>industrie!K18</f>
        <v>0</v>
      </c>
      <c r="M13" s="688">
        <f>industrie!L18</f>
        <v>0</v>
      </c>
      <c r="N13" s="688">
        <f>industrie!M18</f>
        <v>0</v>
      </c>
      <c r="O13" s="688">
        <f>industrie!N18</f>
        <v>89.086550150074316</v>
      </c>
      <c r="P13" s="688">
        <f>industrie!O18</f>
        <v>0</v>
      </c>
      <c r="Q13" s="689">
        <f>industrie!P18</f>
        <v>0</v>
      </c>
      <c r="R13" s="691">
        <f>SUM(C13:Q13)</f>
        <v>4467.9534084203588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52000.116418300146</v>
      </c>
      <c r="D16" s="721">
        <f t="shared" ref="D16:R16" ca="1" si="0">SUM(D9:D15)</f>
        <v>1890</v>
      </c>
      <c r="E16" s="721">
        <f t="shared" ca="1" si="0"/>
        <v>80548.018786000001</v>
      </c>
      <c r="F16" s="721">
        <f t="shared" si="0"/>
        <v>2422.9576134231106</v>
      </c>
      <c r="G16" s="721">
        <f t="shared" ca="1" si="0"/>
        <v>34912.533404083966</v>
      </c>
      <c r="H16" s="721">
        <f t="shared" si="0"/>
        <v>0</v>
      </c>
      <c r="I16" s="721">
        <f t="shared" si="0"/>
        <v>0</v>
      </c>
      <c r="J16" s="721">
        <f t="shared" si="0"/>
        <v>0</v>
      </c>
      <c r="K16" s="721">
        <f t="shared" si="0"/>
        <v>4.4892718740133066</v>
      </c>
      <c r="L16" s="721">
        <f t="shared" si="0"/>
        <v>0</v>
      </c>
      <c r="M16" s="721">
        <f t="shared" ca="1" si="0"/>
        <v>0</v>
      </c>
      <c r="N16" s="721">
        <f t="shared" si="0"/>
        <v>0</v>
      </c>
      <c r="O16" s="721">
        <f t="shared" ca="1" si="0"/>
        <v>8510.8462156817404</v>
      </c>
      <c r="P16" s="721">
        <f t="shared" si="0"/>
        <v>84.42</v>
      </c>
      <c r="Q16" s="721">
        <f t="shared" si="0"/>
        <v>171.6</v>
      </c>
      <c r="R16" s="721">
        <f t="shared" ca="1" si="0"/>
        <v>180544.98170936297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1319.3894711141181</v>
      </c>
      <c r="I19" s="688">
        <f>transport!H54</f>
        <v>0</v>
      </c>
      <c r="J19" s="688">
        <f>transport!I54</f>
        <v>0</v>
      </c>
      <c r="K19" s="688">
        <f>transport!J54</f>
        <v>0</v>
      </c>
      <c r="L19" s="688">
        <f>transport!K54</f>
        <v>0</v>
      </c>
      <c r="M19" s="688">
        <f>transport!L54</f>
        <v>0</v>
      </c>
      <c r="N19" s="688">
        <f>transport!M54</f>
        <v>57.936568145694054</v>
      </c>
      <c r="O19" s="688">
        <f>transport!N54</f>
        <v>0</v>
      </c>
      <c r="P19" s="688">
        <f>transport!O54</f>
        <v>0</v>
      </c>
      <c r="Q19" s="689">
        <f>transport!P54</f>
        <v>0</v>
      </c>
      <c r="R19" s="691">
        <f>SUM(C19:Q19)</f>
        <v>1377.3260392598122</v>
      </c>
      <c r="S19" s="68"/>
    </row>
    <row r="20" spans="1:19" s="457" customFormat="1">
      <c r="A20" s="803" t="s">
        <v>307</v>
      </c>
      <c r="B20" s="808"/>
      <c r="C20" s="688">
        <f>transport!B14</f>
        <v>1.7127320157725767</v>
      </c>
      <c r="D20" s="688">
        <f>transport!C14</f>
        <v>0</v>
      </c>
      <c r="E20" s="688">
        <f>transport!D14</f>
        <v>5.0889062898655286</v>
      </c>
      <c r="F20" s="688">
        <f>transport!E14</f>
        <v>291.61835472459109</v>
      </c>
      <c r="G20" s="688">
        <f>transport!F14</f>
        <v>0</v>
      </c>
      <c r="H20" s="688">
        <f>transport!G14</f>
        <v>51567.804814361014</v>
      </c>
      <c r="I20" s="688">
        <f>transport!H14</f>
        <v>11237.067657707497</v>
      </c>
      <c r="J20" s="688">
        <f>transport!I14</f>
        <v>0</v>
      </c>
      <c r="K20" s="688">
        <f>transport!J14</f>
        <v>0</v>
      </c>
      <c r="L20" s="688">
        <f>transport!K14</f>
        <v>0</v>
      </c>
      <c r="M20" s="688">
        <f>transport!L14</f>
        <v>0</v>
      </c>
      <c r="N20" s="688">
        <f>transport!M14</f>
        <v>2810.3401237588946</v>
      </c>
      <c r="O20" s="688">
        <f>transport!N14</f>
        <v>0</v>
      </c>
      <c r="P20" s="688">
        <f>transport!O14</f>
        <v>0</v>
      </c>
      <c r="Q20" s="689">
        <f>transport!P14</f>
        <v>0</v>
      </c>
      <c r="R20" s="691">
        <f>SUM(C20:Q20)</f>
        <v>65913.632588857639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1.7127320157725767</v>
      </c>
      <c r="D22" s="806">
        <f t="shared" ref="D22:R22" si="1">SUM(D18:D21)</f>
        <v>0</v>
      </c>
      <c r="E22" s="806">
        <f t="shared" si="1"/>
        <v>5.0889062898655286</v>
      </c>
      <c r="F22" s="806">
        <f t="shared" si="1"/>
        <v>291.61835472459109</v>
      </c>
      <c r="G22" s="806">
        <f t="shared" si="1"/>
        <v>0</v>
      </c>
      <c r="H22" s="806">
        <f t="shared" si="1"/>
        <v>52887.194285475132</v>
      </c>
      <c r="I22" s="806">
        <f t="shared" si="1"/>
        <v>11237.067657707497</v>
      </c>
      <c r="J22" s="806">
        <f t="shared" si="1"/>
        <v>0</v>
      </c>
      <c r="K22" s="806">
        <f t="shared" si="1"/>
        <v>0</v>
      </c>
      <c r="L22" s="806">
        <f t="shared" si="1"/>
        <v>0</v>
      </c>
      <c r="M22" s="806">
        <f t="shared" si="1"/>
        <v>0</v>
      </c>
      <c r="N22" s="806">
        <f t="shared" si="1"/>
        <v>2868.2766919045885</v>
      </c>
      <c r="O22" s="806">
        <f t="shared" si="1"/>
        <v>0</v>
      </c>
      <c r="P22" s="806">
        <f t="shared" si="1"/>
        <v>0</v>
      </c>
      <c r="Q22" s="806">
        <f t="shared" si="1"/>
        <v>0</v>
      </c>
      <c r="R22" s="806">
        <f t="shared" si="1"/>
        <v>67290.958628117456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126.334</v>
      </c>
      <c r="D24" s="688">
        <f>+landbouw!C8</f>
        <v>0</v>
      </c>
      <c r="E24" s="688">
        <f>+landbouw!D8</f>
        <v>28.091888000000001</v>
      </c>
      <c r="F24" s="688">
        <f>+landbouw!E8</f>
        <v>1.1901509265566692</v>
      </c>
      <c r="G24" s="688">
        <f>+landbouw!F8</f>
        <v>412.26976857247161</v>
      </c>
      <c r="H24" s="688">
        <f>+landbouw!G8</f>
        <v>0</v>
      </c>
      <c r="I24" s="688">
        <f>+landbouw!H8</f>
        <v>0</v>
      </c>
      <c r="J24" s="688">
        <f>+landbouw!I8</f>
        <v>0</v>
      </c>
      <c r="K24" s="688">
        <f>+landbouw!J8</f>
        <v>15.628130288457962</v>
      </c>
      <c r="L24" s="688">
        <f>+landbouw!K8</f>
        <v>0</v>
      </c>
      <c r="M24" s="688">
        <f>+landbouw!L8</f>
        <v>0</v>
      </c>
      <c r="N24" s="688">
        <f>+landbouw!M8</f>
        <v>0</v>
      </c>
      <c r="O24" s="688">
        <f>+landbouw!N8</f>
        <v>0</v>
      </c>
      <c r="P24" s="688">
        <f>+landbouw!O8</f>
        <v>0</v>
      </c>
      <c r="Q24" s="689">
        <f>+landbouw!P8</f>
        <v>0</v>
      </c>
      <c r="R24" s="691">
        <f>SUM(C24:Q24)</f>
        <v>583.51393778748627</v>
      </c>
      <c r="S24" s="68"/>
    </row>
    <row r="25" spans="1:19" s="457" customFormat="1" ht="15" thickBot="1">
      <c r="A25" s="825" t="s">
        <v>912</v>
      </c>
      <c r="B25" s="1001"/>
      <c r="C25" s="1002">
        <f>IF(Onbekend_ele_kWh="---",0,Onbekend_ele_kWh)/1000+IF(REST_rest_ele_kWh="---",0,REST_rest_ele_kWh)/1000</f>
        <v>486.73099999999999</v>
      </c>
      <c r="D25" s="1002"/>
      <c r="E25" s="1002">
        <f>IF(onbekend_gas_kWh="---",0,onbekend_gas_kWh)/1000+IF(REST_rest_gas_kWh="---",0,REST_rest_gas_kWh)/1000</f>
        <v>3323.2719999999999</v>
      </c>
      <c r="F25" s="1002"/>
      <c r="G25" s="1002"/>
      <c r="H25" s="1002"/>
      <c r="I25" s="1002"/>
      <c r="J25" s="1002"/>
      <c r="K25" s="1002"/>
      <c r="L25" s="1002"/>
      <c r="M25" s="1002"/>
      <c r="N25" s="1002"/>
      <c r="O25" s="1002"/>
      <c r="P25" s="1002"/>
      <c r="Q25" s="1003"/>
      <c r="R25" s="691">
        <f>SUM(C25:Q25)</f>
        <v>3810.0029999999997</v>
      </c>
      <c r="S25" s="68"/>
    </row>
    <row r="26" spans="1:19" s="457" customFormat="1" ht="15.75" thickBot="1">
      <c r="A26" s="694" t="s">
        <v>913</v>
      </c>
      <c r="B26" s="811"/>
      <c r="C26" s="806">
        <f>SUM(C24:C25)</f>
        <v>613.06500000000005</v>
      </c>
      <c r="D26" s="806">
        <f t="shared" ref="D26:R26" si="2">SUM(D24:D25)</f>
        <v>0</v>
      </c>
      <c r="E26" s="806">
        <f t="shared" si="2"/>
        <v>3351.3638879999999</v>
      </c>
      <c r="F26" s="806">
        <f t="shared" si="2"/>
        <v>1.1901509265566692</v>
      </c>
      <c r="G26" s="806">
        <f t="shared" si="2"/>
        <v>412.26976857247161</v>
      </c>
      <c r="H26" s="806">
        <f t="shared" si="2"/>
        <v>0</v>
      </c>
      <c r="I26" s="806">
        <f t="shared" si="2"/>
        <v>0</v>
      </c>
      <c r="J26" s="806">
        <f t="shared" si="2"/>
        <v>0</v>
      </c>
      <c r="K26" s="806">
        <f t="shared" si="2"/>
        <v>15.628130288457962</v>
      </c>
      <c r="L26" s="806">
        <f t="shared" si="2"/>
        <v>0</v>
      </c>
      <c r="M26" s="806">
        <f t="shared" si="2"/>
        <v>0</v>
      </c>
      <c r="N26" s="806">
        <f t="shared" si="2"/>
        <v>0</v>
      </c>
      <c r="O26" s="806">
        <f t="shared" si="2"/>
        <v>0</v>
      </c>
      <c r="P26" s="806">
        <f t="shared" si="2"/>
        <v>0</v>
      </c>
      <c r="Q26" s="806">
        <f t="shared" si="2"/>
        <v>0</v>
      </c>
      <c r="R26" s="806">
        <f t="shared" si="2"/>
        <v>4393.5169377874863</v>
      </c>
      <c r="S26" s="68"/>
    </row>
    <row r="27" spans="1:19" s="457" customFormat="1" ht="17.25" thickTop="1" thickBot="1">
      <c r="A27" s="695" t="s">
        <v>116</v>
      </c>
      <c r="B27" s="798"/>
      <c r="C27" s="696">
        <f ca="1">C22+C16+C26</f>
        <v>52614.894150315922</v>
      </c>
      <c r="D27" s="696">
        <f t="shared" ref="D27:R27" ca="1" si="3">D22+D16+D26</f>
        <v>1890</v>
      </c>
      <c r="E27" s="696">
        <f t="shared" ca="1" si="3"/>
        <v>83904.471580289857</v>
      </c>
      <c r="F27" s="696">
        <f t="shared" si="3"/>
        <v>2715.7661190742583</v>
      </c>
      <c r="G27" s="696">
        <f t="shared" ca="1" si="3"/>
        <v>35324.803172656437</v>
      </c>
      <c r="H27" s="696">
        <f t="shared" si="3"/>
        <v>52887.194285475132</v>
      </c>
      <c r="I27" s="696">
        <f t="shared" si="3"/>
        <v>11237.067657707497</v>
      </c>
      <c r="J27" s="696">
        <f t="shared" si="3"/>
        <v>0</v>
      </c>
      <c r="K27" s="696">
        <f t="shared" si="3"/>
        <v>20.117402162471269</v>
      </c>
      <c r="L27" s="696">
        <f t="shared" si="3"/>
        <v>0</v>
      </c>
      <c r="M27" s="696">
        <f t="shared" ca="1" si="3"/>
        <v>0</v>
      </c>
      <c r="N27" s="696">
        <f t="shared" si="3"/>
        <v>2868.2766919045885</v>
      </c>
      <c r="O27" s="696">
        <f t="shared" ca="1" si="3"/>
        <v>8510.8462156817404</v>
      </c>
      <c r="P27" s="696">
        <f t="shared" si="3"/>
        <v>84.42</v>
      </c>
      <c r="Q27" s="696">
        <f t="shared" si="3"/>
        <v>171.6</v>
      </c>
      <c r="R27" s="696">
        <f t="shared" ca="1" si="3"/>
        <v>252229.45727526792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4362.4538289000538</v>
      </c>
      <c r="D40" s="688">
        <f ca="1">tertiair!C20</f>
        <v>449.15294117647068</v>
      </c>
      <c r="E40" s="688">
        <f ca="1">tertiair!D20</f>
        <v>7239.6767251760002</v>
      </c>
      <c r="F40" s="688">
        <f>tertiair!E20</f>
        <v>27.789010272179279</v>
      </c>
      <c r="G40" s="688">
        <f ca="1">tertiair!F20</f>
        <v>876.71928505085179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12955.791790575557</v>
      </c>
    </row>
    <row r="41" spans="1:18">
      <c r="A41" s="816" t="s">
        <v>225</v>
      </c>
      <c r="B41" s="823"/>
      <c r="C41" s="688">
        <f ca="1">huishoudens!B12</f>
        <v>6122.575387350068</v>
      </c>
      <c r="D41" s="688">
        <f ca="1">huishoudens!C12</f>
        <v>0</v>
      </c>
      <c r="E41" s="688">
        <f>huishoudens!D12</f>
        <v>8741.0510519200016</v>
      </c>
      <c r="F41" s="688">
        <f>huishoudens!E12</f>
        <v>516.45662396944033</v>
      </c>
      <c r="G41" s="688">
        <f>huishoudens!F12</f>
        <v>8208.8802315563044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23588.963294795813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425.81619072718189</v>
      </c>
      <c r="D43" s="688">
        <f ca="1">industrie!C22</f>
        <v>0</v>
      </c>
      <c r="E43" s="688">
        <f>industrie!D22</f>
        <v>289.97201767600001</v>
      </c>
      <c r="F43" s="688">
        <f>industrie!E22</f>
        <v>5.7657440054265354</v>
      </c>
      <c r="G43" s="688">
        <f>industrie!F22</f>
        <v>236.04690228326328</v>
      </c>
      <c r="H43" s="688">
        <f>industrie!G22</f>
        <v>0</v>
      </c>
      <c r="I43" s="688">
        <f>industrie!H22</f>
        <v>0</v>
      </c>
      <c r="J43" s="688">
        <f>industrie!I22</f>
        <v>0</v>
      </c>
      <c r="K43" s="688">
        <f>industrie!J22</f>
        <v>1.5892022434007105</v>
      </c>
      <c r="L43" s="688">
        <f>industrie!K22</f>
        <v>0</v>
      </c>
      <c r="M43" s="688">
        <f>industrie!L22</f>
        <v>0</v>
      </c>
      <c r="N43" s="688">
        <f>industrie!M22</f>
        <v>0</v>
      </c>
      <c r="O43" s="688">
        <f>industrie!N22</f>
        <v>0</v>
      </c>
      <c r="P43" s="688">
        <f>industrie!O22</f>
        <v>0</v>
      </c>
      <c r="Q43" s="763">
        <f>industrie!P22</f>
        <v>0</v>
      </c>
      <c r="R43" s="843">
        <f t="shared" ca="1" si="4"/>
        <v>959.19005693527242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10910.845406977303</v>
      </c>
      <c r="D46" s="721">
        <f t="shared" ref="D46:Q46" ca="1" si="5">SUM(D39:D45)</f>
        <v>449.15294117647068</v>
      </c>
      <c r="E46" s="721">
        <f t="shared" ca="1" si="5"/>
        <v>16270.699794772003</v>
      </c>
      <c r="F46" s="721">
        <f t="shared" si="5"/>
        <v>550.0113782470462</v>
      </c>
      <c r="G46" s="721">
        <f t="shared" ca="1" si="5"/>
        <v>9321.6464188904192</v>
      </c>
      <c r="H46" s="721">
        <f t="shared" si="5"/>
        <v>0</v>
      </c>
      <c r="I46" s="721">
        <f t="shared" si="5"/>
        <v>0</v>
      </c>
      <c r="J46" s="721">
        <f t="shared" si="5"/>
        <v>0</v>
      </c>
      <c r="K46" s="721">
        <f t="shared" si="5"/>
        <v>1.5892022434007105</v>
      </c>
      <c r="L46" s="721">
        <f t="shared" si="5"/>
        <v>0</v>
      </c>
      <c r="M46" s="721">
        <f t="shared" ca="1" si="5"/>
        <v>0</v>
      </c>
      <c r="N46" s="721">
        <f t="shared" si="5"/>
        <v>0</v>
      </c>
      <c r="O46" s="721">
        <f t="shared" ca="1" si="5"/>
        <v>0</v>
      </c>
      <c r="P46" s="721">
        <f t="shared" si="5"/>
        <v>0</v>
      </c>
      <c r="Q46" s="721">
        <f t="shared" si="5"/>
        <v>0</v>
      </c>
      <c r="R46" s="721">
        <f ca="1">SUM(R39:R45)</f>
        <v>37503.945142306642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352.27698878746958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352.27698878746958</v>
      </c>
    </row>
    <row r="50" spans="1:18">
      <c r="A50" s="819" t="s">
        <v>307</v>
      </c>
      <c r="B50" s="829"/>
      <c r="C50" s="1008">
        <f ca="1">transport!B18</f>
        <v>0.35937139250516464</v>
      </c>
      <c r="D50" s="1008">
        <f>transport!C18</f>
        <v>0</v>
      </c>
      <c r="E50" s="1008">
        <f>transport!D18</f>
        <v>1.0279590705528368</v>
      </c>
      <c r="F50" s="1008">
        <f>transport!E18</f>
        <v>66.197366522482184</v>
      </c>
      <c r="G50" s="1008">
        <f>transport!F18</f>
        <v>0</v>
      </c>
      <c r="H50" s="1008">
        <f>transport!G18</f>
        <v>13768.603885434391</v>
      </c>
      <c r="I50" s="1008">
        <f>transport!H18</f>
        <v>2798.0298467691669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16634.218429189099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0.35937139250516464</v>
      </c>
      <c r="D52" s="721">
        <f t="shared" ref="D52:Q52" ca="1" si="6">SUM(D48:D51)</f>
        <v>0</v>
      </c>
      <c r="E52" s="721">
        <f t="shared" si="6"/>
        <v>1.0279590705528368</v>
      </c>
      <c r="F52" s="721">
        <f t="shared" si="6"/>
        <v>66.197366522482184</v>
      </c>
      <c r="G52" s="721">
        <f t="shared" si="6"/>
        <v>0</v>
      </c>
      <c r="H52" s="721">
        <f t="shared" si="6"/>
        <v>14120.880874221861</v>
      </c>
      <c r="I52" s="721">
        <f t="shared" si="6"/>
        <v>2798.0298467691669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16986.49541797657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26.507839570143222</v>
      </c>
      <c r="D54" s="1008">
        <f ca="1">+landbouw!C12</f>
        <v>0</v>
      </c>
      <c r="E54" s="1008">
        <f>+landbouw!D12</f>
        <v>5.6745613760000007</v>
      </c>
      <c r="F54" s="1008">
        <f>+landbouw!E12</f>
        <v>0.27016426032836394</v>
      </c>
      <c r="G54" s="1008">
        <f>+landbouw!F12</f>
        <v>110.07602820884992</v>
      </c>
      <c r="H54" s="1008">
        <f>+landbouw!G12</f>
        <v>0</v>
      </c>
      <c r="I54" s="1008">
        <f>+landbouw!H12</f>
        <v>0</v>
      </c>
      <c r="J54" s="1008">
        <f>+landbouw!I12</f>
        <v>0</v>
      </c>
      <c r="K54" s="1008">
        <f>+landbouw!J12</f>
        <v>5.5323581221141183</v>
      </c>
      <c r="L54" s="1008">
        <f>+landbouw!K12</f>
        <v>0</v>
      </c>
      <c r="M54" s="1008">
        <f>+landbouw!L12</f>
        <v>0</v>
      </c>
      <c r="N54" s="1008">
        <f>+landbouw!M12</f>
        <v>0</v>
      </c>
      <c r="O54" s="1008">
        <f>+landbouw!N12</f>
        <v>0</v>
      </c>
      <c r="P54" s="1008">
        <f>+landbouw!O12</f>
        <v>0</v>
      </c>
      <c r="Q54" s="1009">
        <f>+landbouw!P12</f>
        <v>0</v>
      </c>
      <c r="R54" s="720">
        <f ca="1">SUM(C54:Q54)</f>
        <v>148.06095153743561</v>
      </c>
    </row>
    <row r="55" spans="1:18" ht="15" thickBot="1">
      <c r="A55" s="819" t="s">
        <v>912</v>
      </c>
      <c r="B55" s="829"/>
      <c r="C55" s="1008">
        <f ca="1">C25*'EF ele_warmte'!B12</f>
        <v>102.12759242813003</v>
      </c>
      <c r="D55" s="1008"/>
      <c r="E55" s="1008">
        <f>E25*EF_CO2_aardgas</f>
        <v>671.30094400000007</v>
      </c>
      <c r="F55" s="1008"/>
      <c r="G55" s="1008"/>
      <c r="H55" s="1008"/>
      <c r="I55" s="1008"/>
      <c r="J55" s="1008"/>
      <c r="K55" s="1008"/>
      <c r="L55" s="1008"/>
      <c r="M55" s="1008"/>
      <c r="N55" s="1008"/>
      <c r="O55" s="1008"/>
      <c r="P55" s="1008"/>
      <c r="Q55" s="1009"/>
      <c r="R55" s="720">
        <f ca="1">SUM(C55:Q55)</f>
        <v>773.42853642813009</v>
      </c>
    </row>
    <row r="56" spans="1:18" ht="15.75" thickBot="1">
      <c r="A56" s="817" t="s">
        <v>913</v>
      </c>
      <c r="B56" s="830"/>
      <c r="C56" s="721">
        <f ca="1">SUM(C54:C55)</f>
        <v>128.63543199827325</v>
      </c>
      <c r="D56" s="721">
        <f t="shared" ref="D56:Q56" ca="1" si="7">SUM(D54:D55)</f>
        <v>0</v>
      </c>
      <c r="E56" s="721">
        <f t="shared" si="7"/>
        <v>676.97550537600011</v>
      </c>
      <c r="F56" s="721">
        <f t="shared" si="7"/>
        <v>0.27016426032836394</v>
      </c>
      <c r="G56" s="721">
        <f t="shared" si="7"/>
        <v>110.07602820884992</v>
      </c>
      <c r="H56" s="721">
        <f t="shared" si="7"/>
        <v>0</v>
      </c>
      <c r="I56" s="721">
        <f t="shared" si="7"/>
        <v>0</v>
      </c>
      <c r="J56" s="721">
        <f t="shared" si="7"/>
        <v>0</v>
      </c>
      <c r="K56" s="721">
        <f t="shared" si="7"/>
        <v>5.5323581221141183</v>
      </c>
      <c r="L56" s="721">
        <f t="shared" si="7"/>
        <v>0</v>
      </c>
      <c r="M56" s="721">
        <f t="shared" si="7"/>
        <v>0</v>
      </c>
      <c r="N56" s="721">
        <f t="shared" si="7"/>
        <v>0</v>
      </c>
      <c r="O56" s="721">
        <f t="shared" si="7"/>
        <v>0</v>
      </c>
      <c r="P56" s="721">
        <f t="shared" si="7"/>
        <v>0</v>
      </c>
      <c r="Q56" s="722">
        <f t="shared" si="7"/>
        <v>0</v>
      </c>
      <c r="R56" s="723">
        <f ca="1">SUM(R54:R55)</f>
        <v>921.48948796556567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11039.840210368082</v>
      </c>
      <c r="D61" s="729">
        <f t="shared" ref="D61:Q61" ca="1" si="8">D46+D52+D56</f>
        <v>449.15294117647068</v>
      </c>
      <c r="E61" s="729">
        <f t="shared" ca="1" si="8"/>
        <v>16948.703259218557</v>
      </c>
      <c r="F61" s="729">
        <f t="shared" si="8"/>
        <v>616.47890902985671</v>
      </c>
      <c r="G61" s="729">
        <f t="shared" ca="1" si="8"/>
        <v>9431.7224470992696</v>
      </c>
      <c r="H61" s="729">
        <f t="shared" si="8"/>
        <v>14120.880874221861</v>
      </c>
      <c r="I61" s="729">
        <f t="shared" si="8"/>
        <v>2798.0298467691669</v>
      </c>
      <c r="J61" s="729">
        <f t="shared" si="8"/>
        <v>0</v>
      </c>
      <c r="K61" s="729">
        <f t="shared" si="8"/>
        <v>7.1215603655148287</v>
      </c>
      <c r="L61" s="729">
        <f t="shared" si="8"/>
        <v>0</v>
      </c>
      <c r="M61" s="729">
        <f t="shared" ca="1" si="8"/>
        <v>0</v>
      </c>
      <c r="N61" s="729">
        <f t="shared" si="8"/>
        <v>0</v>
      </c>
      <c r="O61" s="729">
        <f t="shared" ca="1" si="8"/>
        <v>0</v>
      </c>
      <c r="P61" s="729">
        <f t="shared" si="8"/>
        <v>0</v>
      </c>
      <c r="Q61" s="729">
        <f t="shared" si="8"/>
        <v>0</v>
      </c>
      <c r="R61" s="729">
        <f ca="1">R46+R52+R56</f>
        <v>55411.930048248774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0.2098234803785459</v>
      </c>
      <c r="D63" s="773">
        <f t="shared" ca="1" si="9"/>
        <v>0.23764705882352946</v>
      </c>
      <c r="E63" s="1010">
        <f t="shared" ca="1" si="9"/>
        <v>0.20200000000000007</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2760.5224238699775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1323</v>
      </c>
      <c r="D76" s="1020">
        <f>'lokale energieproductie'!C8</f>
        <v>1556.4705882352941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314.40705882352944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2760.5224238699775</v>
      </c>
      <c r="C78" s="744">
        <f>SUM(C72:C77)</f>
        <v>1323</v>
      </c>
      <c r="D78" s="745">
        <f t="shared" ref="D78:H78" si="10">SUM(D76:D77)</f>
        <v>1556.4705882352941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314.40705882352944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1890</v>
      </c>
      <c r="D87" s="766">
        <f>'lokale energieproductie'!C17</f>
        <v>2223.5294117647063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449.15294117647068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1890</v>
      </c>
      <c r="D90" s="744">
        <f t="shared" ref="D90:H90" si="12">SUM(D87:D89)</f>
        <v>2223.5294117647063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449.15294117647068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2760.5224238699775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1323</v>
      </c>
      <c r="C8" s="558">
        <f>B101</f>
        <v>1556.4705882352941</v>
      </c>
      <c r="D8" s="991"/>
      <c r="E8" s="991">
        <f>E101</f>
        <v>0</v>
      </c>
      <c r="F8" s="992"/>
      <c r="G8" s="559"/>
      <c r="H8" s="991">
        <f>I101</f>
        <v>0</v>
      </c>
      <c r="I8" s="991">
        <f>G101+F101</f>
        <v>0</v>
      </c>
      <c r="J8" s="991">
        <f>H101+D101+C101</f>
        <v>0</v>
      </c>
      <c r="K8" s="991"/>
      <c r="L8" s="991"/>
      <c r="M8" s="991"/>
      <c r="N8" s="560"/>
      <c r="O8" s="561">
        <f>C8*$C$12+D8*$D$12+E8*$E$12+F8*$F$12+G8*$G$12+H8*$H$12+I8*$I$12+J8*$J$12</f>
        <v>314.40705882352944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4083.5224238699775</v>
      </c>
      <c r="C10" s="570">
        <f t="shared" ref="C10:L10" si="0">SUM(C8:C9)</f>
        <v>1556.4705882352941</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314.40705882352944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1890</v>
      </c>
      <c r="C17" s="582">
        <f>B102</f>
        <v>2223.5294117647063</v>
      </c>
      <c r="D17" s="583"/>
      <c r="E17" s="583">
        <f>E102</f>
        <v>0</v>
      </c>
      <c r="F17" s="584"/>
      <c r="G17" s="585"/>
      <c r="H17" s="582">
        <f>I102</f>
        <v>0</v>
      </c>
      <c r="I17" s="583">
        <f>G102+F102</f>
        <v>0</v>
      </c>
      <c r="J17" s="583">
        <f>H102+D102+C102</f>
        <v>0</v>
      </c>
      <c r="K17" s="583"/>
      <c r="L17" s="583"/>
      <c r="M17" s="583"/>
      <c r="N17" s="998"/>
      <c r="O17" s="586">
        <f>C17*$C$22+E17*$E$22+H17*$H$22+I17*$I$22+J17*$J$22+D17*$D$22+F17*$F$22+G17*$G$22+K17*$K$22+L17*$L$22</f>
        <v>449.15294117647068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1890</v>
      </c>
      <c r="C20" s="569">
        <f>SUM(C17:C19)</f>
        <v>2223.5294117647063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449.15294117647068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71034</v>
      </c>
      <c r="C28" s="789">
        <v>3970</v>
      </c>
      <c r="D28" s="642" t="s">
        <v>948</v>
      </c>
      <c r="E28" s="641" t="s">
        <v>949</v>
      </c>
      <c r="F28" s="641" t="s">
        <v>950</v>
      </c>
      <c r="G28" s="641" t="s">
        <v>951</v>
      </c>
      <c r="H28" s="641" t="s">
        <v>952</v>
      </c>
      <c r="I28" s="641" t="s">
        <v>953</v>
      </c>
      <c r="J28" s="788">
        <v>38991</v>
      </c>
      <c r="K28" s="788">
        <v>39417</v>
      </c>
      <c r="L28" s="641" t="s">
        <v>954</v>
      </c>
      <c r="M28" s="641">
        <v>294</v>
      </c>
      <c r="N28" s="641">
        <v>1323</v>
      </c>
      <c r="O28" s="641">
        <v>1890</v>
      </c>
      <c r="P28" s="641">
        <v>3780.0000000000005</v>
      </c>
      <c r="Q28" s="641">
        <v>0</v>
      </c>
      <c r="R28" s="641">
        <v>0</v>
      </c>
      <c r="S28" s="641">
        <v>0</v>
      </c>
      <c r="T28" s="641">
        <v>0</v>
      </c>
      <c r="U28" s="641">
        <v>0</v>
      </c>
      <c r="V28" s="641">
        <v>0</v>
      </c>
      <c r="W28" s="641"/>
      <c r="X28" s="641">
        <v>1300</v>
      </c>
      <c r="Y28" s="641" t="s">
        <v>54</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294</v>
      </c>
      <c r="N58" s="599">
        <f>SUM(N28:N57)</f>
        <v>1323</v>
      </c>
      <c r="O58" s="599">
        <f t="shared" ref="O58:W58" si="2">SUM(O28:O57)</f>
        <v>1890</v>
      </c>
      <c r="P58" s="599">
        <f t="shared" si="2"/>
        <v>3780.0000000000005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294</v>
      </c>
      <c r="N60" s="599">
        <f ca="1">SUMIF($Z$28:AD57,"tertiair",N28:N57)</f>
        <v>1323</v>
      </c>
      <c r="O60" s="599">
        <f ca="1">SUMIF($Z$28:AE57,"tertiair",O28:O57)</f>
        <v>1890</v>
      </c>
      <c r="P60" s="599">
        <f ca="1">SUMIF($Z$28:AF57,"tertiair",P28:P57)</f>
        <v>3780.0000000000005</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1556.4705882352941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2223.5294117647063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29179.648418300141</v>
      </c>
      <c r="C4" s="461">
        <f>huishoudens!C8</f>
        <v>0</v>
      </c>
      <c r="D4" s="461">
        <f>huishoudens!D8</f>
        <v>43272.529960000007</v>
      </c>
      <c r="E4" s="461">
        <f>huishoudens!E8</f>
        <v>2275.1393126407061</v>
      </c>
      <c r="F4" s="461">
        <f>huishoudens!F8</f>
        <v>30744.869781109755</v>
      </c>
      <c r="G4" s="461">
        <f>huishoudens!G8</f>
        <v>0</v>
      </c>
      <c r="H4" s="461">
        <f>huishoudens!H8</f>
        <v>0</v>
      </c>
      <c r="I4" s="461">
        <f>huishoudens!I8</f>
        <v>0</v>
      </c>
      <c r="J4" s="461">
        <f>huishoudens!J8</f>
        <v>0</v>
      </c>
      <c r="K4" s="461">
        <f>huishoudens!K8</f>
        <v>0</v>
      </c>
      <c r="L4" s="461">
        <f>huishoudens!L8</f>
        <v>0</v>
      </c>
      <c r="M4" s="461">
        <f>huishoudens!M8</f>
        <v>0</v>
      </c>
      <c r="N4" s="461">
        <f>huishoudens!N8</f>
        <v>7716.9941929091847</v>
      </c>
      <c r="O4" s="461">
        <f>huishoudens!O8</f>
        <v>84.42</v>
      </c>
      <c r="P4" s="462">
        <f>huishoudens!P8</f>
        <v>171.6</v>
      </c>
      <c r="Q4" s="463">
        <f>SUM(B4:P4)</f>
        <v>113445.20166495979</v>
      </c>
    </row>
    <row r="5" spans="1:17">
      <c r="A5" s="460" t="s">
        <v>156</v>
      </c>
      <c r="B5" s="461">
        <f ca="1">tertiair!B16</f>
        <v>19970.547000000002</v>
      </c>
      <c r="C5" s="461">
        <f ca="1">tertiair!C16</f>
        <v>1890</v>
      </c>
      <c r="D5" s="461">
        <f ca="1">tertiair!D16</f>
        <v>35839.983787999998</v>
      </c>
      <c r="E5" s="461">
        <f>tertiair!E16</f>
        <v>122.41854745453426</v>
      </c>
      <c r="F5" s="461">
        <f ca="1">tertiair!F16</f>
        <v>3283.5928279058116</v>
      </c>
      <c r="G5" s="461">
        <f>tertiair!G16</f>
        <v>0</v>
      </c>
      <c r="H5" s="461">
        <f>tertiair!H16</f>
        <v>0</v>
      </c>
      <c r="I5" s="461">
        <f>tertiair!I16</f>
        <v>0</v>
      </c>
      <c r="J5" s="461">
        <f>tertiair!J16</f>
        <v>0</v>
      </c>
      <c r="K5" s="461">
        <f>tertiair!K16</f>
        <v>0</v>
      </c>
      <c r="L5" s="461">
        <f ca="1">tertiair!L16</f>
        <v>0</v>
      </c>
      <c r="M5" s="461">
        <f>tertiair!M16</f>
        <v>0</v>
      </c>
      <c r="N5" s="461">
        <f ca="1">tertiair!N16</f>
        <v>704.76547262248278</v>
      </c>
      <c r="O5" s="461">
        <f>tertiair!O16</f>
        <v>0</v>
      </c>
      <c r="P5" s="462">
        <f>tertiair!P16</f>
        <v>0</v>
      </c>
      <c r="Q5" s="460">
        <f t="shared" ref="Q5:Q14" ca="1" si="0">SUM(B5:P5)</f>
        <v>61811.307635982841</v>
      </c>
    </row>
    <row r="6" spans="1:17">
      <c r="A6" s="460" t="s">
        <v>194</v>
      </c>
      <c r="B6" s="461">
        <f>'openbare verlichting'!B8</f>
        <v>820.51900000000001</v>
      </c>
      <c r="C6" s="461"/>
      <c r="D6" s="461"/>
      <c r="E6" s="461"/>
      <c r="F6" s="461"/>
      <c r="G6" s="461"/>
      <c r="H6" s="461"/>
      <c r="I6" s="461"/>
      <c r="J6" s="461"/>
      <c r="K6" s="461"/>
      <c r="L6" s="461"/>
      <c r="M6" s="461"/>
      <c r="N6" s="461"/>
      <c r="O6" s="461"/>
      <c r="P6" s="462"/>
      <c r="Q6" s="460">
        <f t="shared" si="0"/>
        <v>820.51900000000001</v>
      </c>
    </row>
    <row r="7" spans="1:17">
      <c r="A7" s="460" t="s">
        <v>112</v>
      </c>
      <c r="B7" s="461">
        <f>landbouw!B8</f>
        <v>126.334</v>
      </c>
      <c r="C7" s="461">
        <f>landbouw!C8</f>
        <v>0</v>
      </c>
      <c r="D7" s="461">
        <f>landbouw!D8</f>
        <v>28.091888000000001</v>
      </c>
      <c r="E7" s="461">
        <f>landbouw!E8</f>
        <v>1.1901509265566692</v>
      </c>
      <c r="F7" s="461">
        <f>landbouw!F8</f>
        <v>412.26976857247161</v>
      </c>
      <c r="G7" s="461">
        <f>landbouw!G8</f>
        <v>0</v>
      </c>
      <c r="H7" s="461">
        <f>landbouw!H8</f>
        <v>0</v>
      </c>
      <c r="I7" s="461">
        <f>landbouw!I8</f>
        <v>0</v>
      </c>
      <c r="J7" s="461">
        <f>landbouw!J8</f>
        <v>15.628130288457962</v>
      </c>
      <c r="K7" s="461">
        <f>landbouw!K8</f>
        <v>0</v>
      </c>
      <c r="L7" s="461">
        <f>landbouw!L8</f>
        <v>0</v>
      </c>
      <c r="M7" s="461">
        <f>landbouw!M8</f>
        <v>0</v>
      </c>
      <c r="N7" s="461">
        <f>landbouw!N8</f>
        <v>0</v>
      </c>
      <c r="O7" s="461">
        <f>landbouw!O8</f>
        <v>0</v>
      </c>
      <c r="P7" s="462">
        <f>landbouw!P8</f>
        <v>0</v>
      </c>
      <c r="Q7" s="460">
        <f t="shared" si="0"/>
        <v>583.51393778748627</v>
      </c>
    </row>
    <row r="8" spans="1:17">
      <c r="A8" s="460" t="s">
        <v>685</v>
      </c>
      <c r="B8" s="461">
        <f>industrie!B18</f>
        <v>2029.402</v>
      </c>
      <c r="C8" s="461">
        <f>industrie!C18</f>
        <v>0</v>
      </c>
      <c r="D8" s="461">
        <f>industrie!D18</f>
        <v>1435.505038</v>
      </c>
      <c r="E8" s="461">
        <f>industrie!E18</f>
        <v>25.399753327870201</v>
      </c>
      <c r="F8" s="461">
        <f>industrie!F18</f>
        <v>884.07079506840171</v>
      </c>
      <c r="G8" s="461">
        <f>industrie!G18</f>
        <v>0</v>
      </c>
      <c r="H8" s="461">
        <f>industrie!H18</f>
        <v>0</v>
      </c>
      <c r="I8" s="461">
        <f>industrie!I18</f>
        <v>0</v>
      </c>
      <c r="J8" s="461">
        <f>industrie!J18</f>
        <v>4.4892718740133066</v>
      </c>
      <c r="K8" s="461">
        <f>industrie!K18</f>
        <v>0</v>
      </c>
      <c r="L8" s="461">
        <f>industrie!L18</f>
        <v>0</v>
      </c>
      <c r="M8" s="461">
        <f>industrie!M18</f>
        <v>0</v>
      </c>
      <c r="N8" s="461">
        <f>industrie!N18</f>
        <v>89.086550150074316</v>
      </c>
      <c r="O8" s="461">
        <f>industrie!O18</f>
        <v>0</v>
      </c>
      <c r="P8" s="462">
        <f>industrie!P18</f>
        <v>0</v>
      </c>
      <c r="Q8" s="460">
        <f t="shared" si="0"/>
        <v>4467.9534084203588</v>
      </c>
    </row>
    <row r="9" spans="1:17" s="466" customFormat="1">
      <c r="A9" s="464" t="s">
        <v>579</v>
      </c>
      <c r="B9" s="465">
        <f>transport!B14</f>
        <v>1.7127320157725767</v>
      </c>
      <c r="C9" s="465">
        <f>transport!C14</f>
        <v>0</v>
      </c>
      <c r="D9" s="465">
        <f>transport!D14</f>
        <v>5.0889062898655286</v>
      </c>
      <c r="E9" s="465">
        <f>transport!E14</f>
        <v>291.61835472459109</v>
      </c>
      <c r="F9" s="465">
        <f>transport!F14</f>
        <v>0</v>
      </c>
      <c r="G9" s="465">
        <f>transport!G14</f>
        <v>51567.804814361014</v>
      </c>
      <c r="H9" s="465">
        <f>transport!H14</f>
        <v>11237.067657707497</v>
      </c>
      <c r="I9" s="465">
        <f>transport!I14</f>
        <v>0</v>
      </c>
      <c r="J9" s="465">
        <f>transport!J14</f>
        <v>0</v>
      </c>
      <c r="K9" s="465">
        <f>transport!K14</f>
        <v>0</v>
      </c>
      <c r="L9" s="465">
        <f>transport!L14</f>
        <v>0</v>
      </c>
      <c r="M9" s="465">
        <f>transport!M14</f>
        <v>2810.3401237588946</v>
      </c>
      <c r="N9" s="465">
        <f>transport!N14</f>
        <v>0</v>
      </c>
      <c r="O9" s="465">
        <f>transport!O14</f>
        <v>0</v>
      </c>
      <c r="P9" s="465">
        <f>transport!P14</f>
        <v>0</v>
      </c>
      <c r="Q9" s="464">
        <f>SUM(B9:P9)</f>
        <v>65913.632588857639</v>
      </c>
    </row>
    <row r="10" spans="1:17">
      <c r="A10" s="460" t="s">
        <v>569</v>
      </c>
      <c r="B10" s="461">
        <f>transport!B54</f>
        <v>0</v>
      </c>
      <c r="C10" s="461">
        <f>transport!C54</f>
        <v>0</v>
      </c>
      <c r="D10" s="461">
        <f>transport!D54</f>
        <v>0</v>
      </c>
      <c r="E10" s="461">
        <f>transport!E54</f>
        <v>0</v>
      </c>
      <c r="F10" s="461">
        <f>transport!F54</f>
        <v>0</v>
      </c>
      <c r="G10" s="461">
        <f>transport!G54</f>
        <v>1319.3894711141181</v>
      </c>
      <c r="H10" s="461">
        <f>transport!H54</f>
        <v>0</v>
      </c>
      <c r="I10" s="461">
        <f>transport!I54</f>
        <v>0</v>
      </c>
      <c r="J10" s="461">
        <f>transport!J54</f>
        <v>0</v>
      </c>
      <c r="K10" s="461">
        <f>transport!K54</f>
        <v>0</v>
      </c>
      <c r="L10" s="461">
        <f>transport!L54</f>
        <v>0</v>
      </c>
      <c r="M10" s="461">
        <f>transport!M54</f>
        <v>57.936568145694054</v>
      </c>
      <c r="N10" s="461">
        <f>transport!N54</f>
        <v>0</v>
      </c>
      <c r="O10" s="461">
        <f>transport!O54</f>
        <v>0</v>
      </c>
      <c r="P10" s="462">
        <f>transport!P54</f>
        <v>0</v>
      </c>
      <c r="Q10" s="460">
        <f t="shared" si="0"/>
        <v>1377.3260392598122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486.73099999999999</v>
      </c>
      <c r="C14" s="468"/>
      <c r="D14" s="468">
        <f>'SEAP template'!E25</f>
        <v>3323.2719999999999</v>
      </c>
      <c r="E14" s="468"/>
      <c r="F14" s="468"/>
      <c r="G14" s="468"/>
      <c r="H14" s="468"/>
      <c r="I14" s="468"/>
      <c r="J14" s="468"/>
      <c r="K14" s="468"/>
      <c r="L14" s="468"/>
      <c r="M14" s="468"/>
      <c r="N14" s="468"/>
      <c r="O14" s="468"/>
      <c r="P14" s="469"/>
      <c r="Q14" s="460">
        <f t="shared" si="0"/>
        <v>3810.0029999999997</v>
      </c>
    </row>
    <row r="15" spans="1:17" s="473" customFormat="1">
      <c r="A15" s="470" t="s">
        <v>573</v>
      </c>
      <c r="B15" s="471">
        <f ca="1">SUM(B4:B14)</f>
        <v>52614.894150315922</v>
      </c>
      <c r="C15" s="471">
        <f t="shared" ref="C15:Q15" ca="1" si="1">SUM(C4:C14)</f>
        <v>1890</v>
      </c>
      <c r="D15" s="471">
        <f t="shared" ca="1" si="1"/>
        <v>83904.471580289857</v>
      </c>
      <c r="E15" s="471">
        <f t="shared" si="1"/>
        <v>2715.7661190742583</v>
      </c>
      <c r="F15" s="471">
        <f t="shared" ca="1" si="1"/>
        <v>35324.803172656437</v>
      </c>
      <c r="G15" s="471">
        <f t="shared" si="1"/>
        <v>52887.194285475132</v>
      </c>
      <c r="H15" s="471">
        <f t="shared" si="1"/>
        <v>11237.067657707497</v>
      </c>
      <c r="I15" s="471">
        <f t="shared" si="1"/>
        <v>0</v>
      </c>
      <c r="J15" s="471">
        <f t="shared" si="1"/>
        <v>20.117402162471269</v>
      </c>
      <c r="K15" s="471">
        <f t="shared" si="1"/>
        <v>0</v>
      </c>
      <c r="L15" s="471">
        <f t="shared" ca="1" si="1"/>
        <v>0</v>
      </c>
      <c r="M15" s="471">
        <f t="shared" si="1"/>
        <v>2868.2766919045885</v>
      </c>
      <c r="N15" s="471">
        <f t="shared" ca="1" si="1"/>
        <v>8510.8462156817404</v>
      </c>
      <c r="O15" s="471">
        <f t="shared" si="1"/>
        <v>84.42</v>
      </c>
      <c r="P15" s="471">
        <f t="shared" si="1"/>
        <v>171.6</v>
      </c>
      <c r="Q15" s="471">
        <f t="shared" ca="1" si="1"/>
        <v>252229.45727526792</v>
      </c>
    </row>
    <row r="17" spans="1:17">
      <c r="A17" s="474" t="s">
        <v>574</v>
      </c>
      <c r="B17" s="778">
        <f ca="1">huishoudens!B10</f>
        <v>0.20982348037854592</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6122.575387350068</v>
      </c>
      <c r="C22" s="461">
        <f t="shared" ref="C22:C32" ca="1" si="3">C4*$C$17</f>
        <v>0</v>
      </c>
      <c r="D22" s="461">
        <f t="shared" ref="D22:D32" si="4">D4*$D$17</f>
        <v>8741.0510519200016</v>
      </c>
      <c r="E22" s="461">
        <f t="shared" ref="E22:E32" si="5">E4*$E$17</f>
        <v>516.45662396944033</v>
      </c>
      <c r="F22" s="461">
        <f t="shared" ref="F22:F32" si="6">F4*$F$17</f>
        <v>8208.8802315563044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23588.963294795813</v>
      </c>
    </row>
    <row r="23" spans="1:17">
      <c r="A23" s="460" t="s">
        <v>156</v>
      </c>
      <c r="B23" s="461">
        <f t="shared" ca="1" si="2"/>
        <v>4190.28967660333</v>
      </c>
      <c r="C23" s="461">
        <f t="shared" ca="1" si="3"/>
        <v>449.15294117647068</v>
      </c>
      <c r="D23" s="461">
        <f t="shared" ca="1" si="4"/>
        <v>7239.6767251760002</v>
      </c>
      <c r="E23" s="461">
        <f t="shared" si="5"/>
        <v>27.789010272179279</v>
      </c>
      <c r="F23" s="461">
        <f t="shared" ca="1" si="6"/>
        <v>876.71928505085179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12783.627638278831</v>
      </c>
    </row>
    <row r="24" spans="1:17">
      <c r="A24" s="460" t="s">
        <v>194</v>
      </c>
      <c r="B24" s="461">
        <f t="shared" ca="1" si="2"/>
        <v>172.16415229672413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172.16415229672413</v>
      </c>
    </row>
    <row r="25" spans="1:17">
      <c r="A25" s="460" t="s">
        <v>112</v>
      </c>
      <c r="B25" s="461">
        <f t="shared" ca="1" si="2"/>
        <v>26.507839570143222</v>
      </c>
      <c r="C25" s="461">
        <f t="shared" ca="1" si="3"/>
        <v>0</v>
      </c>
      <c r="D25" s="461">
        <f t="shared" si="4"/>
        <v>5.6745613760000007</v>
      </c>
      <c r="E25" s="461">
        <f t="shared" si="5"/>
        <v>0.27016426032836394</v>
      </c>
      <c r="F25" s="461">
        <f t="shared" si="6"/>
        <v>110.07602820884992</v>
      </c>
      <c r="G25" s="461">
        <f t="shared" si="7"/>
        <v>0</v>
      </c>
      <c r="H25" s="461">
        <f t="shared" si="8"/>
        <v>0</v>
      </c>
      <c r="I25" s="461">
        <f t="shared" si="9"/>
        <v>0</v>
      </c>
      <c r="J25" s="461">
        <f t="shared" si="10"/>
        <v>5.5323581221141183</v>
      </c>
      <c r="K25" s="461">
        <f t="shared" si="11"/>
        <v>0</v>
      </c>
      <c r="L25" s="461">
        <f t="shared" si="12"/>
        <v>0</v>
      </c>
      <c r="M25" s="461">
        <f t="shared" si="13"/>
        <v>0</v>
      </c>
      <c r="N25" s="461">
        <f t="shared" si="14"/>
        <v>0</v>
      </c>
      <c r="O25" s="461">
        <f t="shared" si="15"/>
        <v>0</v>
      </c>
      <c r="P25" s="462">
        <f t="shared" si="16"/>
        <v>0</v>
      </c>
      <c r="Q25" s="460">
        <f t="shared" ca="1" si="17"/>
        <v>148.06095153743561</v>
      </c>
    </row>
    <row r="26" spans="1:17">
      <c r="A26" s="460" t="s">
        <v>685</v>
      </c>
      <c r="B26" s="461">
        <f t="shared" ca="1" si="2"/>
        <v>425.81619072718189</v>
      </c>
      <c r="C26" s="461">
        <f t="shared" ca="1" si="3"/>
        <v>0</v>
      </c>
      <c r="D26" s="461">
        <f t="shared" si="4"/>
        <v>289.97201767600001</v>
      </c>
      <c r="E26" s="461">
        <f t="shared" si="5"/>
        <v>5.7657440054265354</v>
      </c>
      <c r="F26" s="461">
        <f t="shared" si="6"/>
        <v>236.04690228326328</v>
      </c>
      <c r="G26" s="461">
        <f t="shared" si="7"/>
        <v>0</v>
      </c>
      <c r="H26" s="461">
        <f t="shared" si="8"/>
        <v>0</v>
      </c>
      <c r="I26" s="461">
        <f t="shared" si="9"/>
        <v>0</v>
      </c>
      <c r="J26" s="461">
        <f t="shared" si="10"/>
        <v>1.5892022434007105</v>
      </c>
      <c r="K26" s="461">
        <f t="shared" si="11"/>
        <v>0</v>
      </c>
      <c r="L26" s="461">
        <f t="shared" si="12"/>
        <v>0</v>
      </c>
      <c r="M26" s="461">
        <f t="shared" si="13"/>
        <v>0</v>
      </c>
      <c r="N26" s="461">
        <f t="shared" si="14"/>
        <v>0</v>
      </c>
      <c r="O26" s="461">
        <f t="shared" si="15"/>
        <v>0</v>
      </c>
      <c r="P26" s="462">
        <f t="shared" si="16"/>
        <v>0</v>
      </c>
      <c r="Q26" s="460">
        <f t="shared" ca="1" si="17"/>
        <v>959.19005693527242</v>
      </c>
    </row>
    <row r="27" spans="1:17" s="466" customFormat="1">
      <c r="A27" s="464" t="s">
        <v>579</v>
      </c>
      <c r="B27" s="772">
        <f t="shared" ca="1" si="2"/>
        <v>0.35937139250516464</v>
      </c>
      <c r="C27" s="465">
        <f t="shared" ca="1" si="3"/>
        <v>0</v>
      </c>
      <c r="D27" s="465">
        <f t="shared" si="4"/>
        <v>1.0279590705528368</v>
      </c>
      <c r="E27" s="465">
        <f t="shared" si="5"/>
        <v>66.197366522482184</v>
      </c>
      <c r="F27" s="465">
        <f t="shared" si="6"/>
        <v>0</v>
      </c>
      <c r="G27" s="465">
        <f t="shared" si="7"/>
        <v>13768.603885434391</v>
      </c>
      <c r="H27" s="465">
        <f t="shared" si="8"/>
        <v>2798.0298467691669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16634.218429189099</v>
      </c>
    </row>
    <row r="28" spans="1:17">
      <c r="A28" s="460" t="s">
        <v>569</v>
      </c>
      <c r="B28" s="461">
        <f t="shared" ca="1" si="2"/>
        <v>0</v>
      </c>
      <c r="C28" s="461">
        <f t="shared" ca="1" si="3"/>
        <v>0</v>
      </c>
      <c r="D28" s="461">
        <f t="shared" si="4"/>
        <v>0</v>
      </c>
      <c r="E28" s="461">
        <f t="shared" si="5"/>
        <v>0</v>
      </c>
      <c r="F28" s="461">
        <f t="shared" si="6"/>
        <v>0</v>
      </c>
      <c r="G28" s="461">
        <f t="shared" si="7"/>
        <v>352.27698878746958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352.27698878746958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102.12759242813003</v>
      </c>
      <c r="C32" s="461">
        <f t="shared" ca="1" si="3"/>
        <v>0</v>
      </c>
      <c r="D32" s="461">
        <f t="shared" si="4"/>
        <v>671.30094400000007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773.42853642813009</v>
      </c>
    </row>
    <row r="33" spans="1:17" s="473" customFormat="1">
      <c r="A33" s="470" t="s">
        <v>573</v>
      </c>
      <c r="B33" s="471">
        <f ca="1">SUM(B22:B32)</f>
        <v>11039.840210368086</v>
      </c>
      <c r="C33" s="471">
        <f t="shared" ref="C33:Q33" ca="1" si="18">SUM(C22:C32)</f>
        <v>449.15294117647068</v>
      </c>
      <c r="D33" s="471">
        <f t="shared" ca="1" si="18"/>
        <v>16948.703259218553</v>
      </c>
      <c r="E33" s="471">
        <f t="shared" si="18"/>
        <v>616.47890902985671</v>
      </c>
      <c r="F33" s="471">
        <f t="shared" ca="1" si="18"/>
        <v>9431.7224470992696</v>
      </c>
      <c r="G33" s="471">
        <f t="shared" si="18"/>
        <v>14120.880874221861</v>
      </c>
      <c r="H33" s="471">
        <f t="shared" si="18"/>
        <v>2798.0298467691669</v>
      </c>
      <c r="I33" s="471">
        <f t="shared" si="18"/>
        <v>0</v>
      </c>
      <c r="J33" s="471">
        <f t="shared" si="18"/>
        <v>7.1215603655148287</v>
      </c>
      <c r="K33" s="471">
        <f t="shared" si="18"/>
        <v>0</v>
      </c>
      <c r="L33" s="471">
        <f t="shared" ca="1" si="18"/>
        <v>0</v>
      </c>
      <c r="M33" s="471">
        <f t="shared" si="18"/>
        <v>0</v>
      </c>
      <c r="N33" s="471">
        <f t="shared" ca="1" si="18"/>
        <v>0</v>
      </c>
      <c r="O33" s="471">
        <f t="shared" si="18"/>
        <v>0</v>
      </c>
      <c r="P33" s="471">
        <f t="shared" si="18"/>
        <v>0</v>
      </c>
      <c r="Q33" s="471">
        <f t="shared" ca="1" si="18"/>
        <v>55411.930048248774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2760.5224238699775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1323</v>
      </c>
      <c r="D8" s="1037">
        <f>'SEAP template'!D76</f>
        <v>1556.4705882352941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314.40705882352944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2760.5224238699775</v>
      </c>
      <c r="C10" s="1041">
        <f>SUM(C4:C9)</f>
        <v>1323</v>
      </c>
      <c r="D10" s="1041">
        <f t="shared" ref="D10:H10" si="0">SUM(D8:D9)</f>
        <v>1556.4705882352941</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314.40705882352944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0.20982348037854592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1890</v>
      </c>
      <c r="D17" s="1038">
        <f>'SEAP template'!D87</f>
        <v>2223.5294117647063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449.15294117647068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1890</v>
      </c>
      <c r="D20" s="1041">
        <f t="shared" ref="D20:H20" si="2">SUM(D17:D19)</f>
        <v>2223.5294117647063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449.15294117647068</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0.20982348037854592</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2019-08-12T07:56:16Z</dcterms:modified>
</cp:coreProperties>
</file>