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G101"/>
  <c r="N6" i="17"/>
  <c r="L6"/>
  <c r="F6"/>
  <c r="D6"/>
  <c r="C6"/>
  <c r="N16" i="16"/>
  <c r="L16"/>
  <c r="F16"/>
  <c r="D16"/>
  <c r="C16"/>
  <c r="B16"/>
  <c r="B13" i="15"/>
  <c r="D101" i="18" l="1"/>
  <c r="E101"/>
  <c r="E8" s="1"/>
  <c r="E10" s="1"/>
  <c r="C101"/>
  <c r="H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P26"/>
  <c r="L26"/>
  <c r="P22"/>
  <c r="R12"/>
  <c r="F13" i="15"/>
  <c r="D13"/>
  <c r="C13"/>
  <c r="I10" i="18" l="1"/>
  <c r="I76" i="14"/>
  <c r="I8" i="56" s="1"/>
  <c r="I10" s="1"/>
  <c r="Q14" i="48"/>
  <c r="E8" i="56"/>
  <c r="E10" s="1"/>
  <c r="K78" i="14"/>
  <c r="K8" i="56"/>
  <c r="K10" s="1"/>
  <c r="G90" i="14"/>
  <c r="G18" i="56"/>
  <c r="C77" i="14"/>
  <c r="C9" i="56" s="1"/>
  <c r="D9"/>
  <c r="D10" s="1"/>
  <c r="Q88" i="14"/>
  <c r="P18" i="56" s="1"/>
  <c r="D18"/>
  <c r="G20"/>
  <c r="M20"/>
  <c r="N20"/>
  <c r="L10"/>
  <c r="H20"/>
  <c r="K90" i="14"/>
  <c r="K18" i="56"/>
  <c r="K20" s="1"/>
  <c r="N78" i="14"/>
  <c r="N8" i="56"/>
  <c r="N10" s="1"/>
  <c r="M78" i="14"/>
  <c r="M8" i="56"/>
  <c r="M10" s="1"/>
  <c r="H78" i="14"/>
  <c r="H9" i="56"/>
  <c r="H10" s="1"/>
  <c r="Q87" i="14"/>
  <c r="P17" i="56" s="1"/>
  <c r="P20" s="1"/>
  <c r="D17"/>
  <c r="D20" s="1"/>
  <c r="O78" i="14"/>
  <c r="O9" i="56"/>
  <c r="O10" s="1"/>
  <c r="L90" i="14"/>
  <c r="L17" i="56"/>
  <c r="L20" s="1"/>
  <c r="O90" i="14"/>
  <c r="O18" i="56"/>
  <c r="O20"/>
  <c r="F76" i="14"/>
  <c r="F90"/>
  <c r="L78"/>
  <c r="J76"/>
  <c r="G78"/>
  <c r="Q89"/>
  <c r="P19" i="56" s="1"/>
  <c r="I87" i="14"/>
  <c r="I17" i="56" s="1"/>
  <c r="I20" s="1"/>
  <c r="D78" i="14"/>
  <c r="Q77"/>
  <c r="O17" i="18"/>
  <c r="O20" s="1"/>
  <c r="J87" i="14"/>
  <c r="B88"/>
  <c r="B18" i="56" s="1"/>
  <c r="C89" i="14"/>
  <c r="C19" i="56" s="1"/>
  <c r="B89" i="14"/>
  <c r="B19" i="56" s="1"/>
  <c r="B77" i="14"/>
  <c r="B9" i="56" s="1"/>
  <c r="O8" i="18"/>
  <c r="O10" s="1"/>
  <c r="N13" i="15"/>
  <c r="L13"/>
  <c r="O24" i="48"/>
  <c r="O30"/>
  <c r="P24"/>
  <c r="P30"/>
  <c r="R9" i="14"/>
  <c r="E78"/>
  <c r="E55"/>
  <c r="R25"/>
  <c r="E90"/>
  <c r="M90"/>
  <c r="D90"/>
  <c r="F8" i="56" l="1"/>
  <c r="F10" s="1"/>
  <c r="F78" i="14"/>
  <c r="Q78"/>
  <c r="B9" i="6" s="1"/>
  <c r="P9" i="56"/>
  <c r="P10" s="1"/>
  <c r="J8"/>
  <c r="J10" s="1"/>
  <c r="J78" i="14"/>
  <c r="J90"/>
  <c r="J17" i="56"/>
  <c r="J20" s="1"/>
  <c r="Q90" i="14"/>
  <c r="B17" i="6" s="1"/>
  <c r="B76" i="14"/>
  <c r="I78"/>
  <c r="C87"/>
  <c r="C17" i="56" s="1"/>
  <c r="C20" s="1"/>
  <c r="Q76" i="14"/>
  <c r="P8" i="56" s="1"/>
  <c r="C76" i="14"/>
  <c r="I90"/>
  <c r="C90"/>
  <c r="B87"/>
  <c r="B90" l="1"/>
  <c r="B17" i="56"/>
  <c r="B20" s="1"/>
  <c r="B8"/>
  <c r="B10" s="1"/>
  <c r="B78" i="14"/>
  <c r="B4" i="6" s="1"/>
  <c r="C8" i="56"/>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9"/>
  <c r="E24"/>
  <c r="E31"/>
  <c r="M12" i="13"/>
  <c r="N41" i="14" s="1"/>
  <c r="M17" i="48"/>
  <c r="L10" i="14"/>
  <c r="L16" s="1"/>
  <c r="L27" s="1"/>
  <c r="K5" i="48"/>
  <c r="D28"/>
  <c r="D30"/>
  <c r="D31"/>
  <c r="D24"/>
  <c r="D32"/>
  <c r="D29"/>
  <c r="L31"/>
  <c r="L28"/>
  <c r="L32"/>
  <c r="L27"/>
  <c r="L24"/>
  <c r="L22"/>
  <c r="L30"/>
  <c r="L29"/>
  <c r="P5"/>
  <c r="P23" s="1"/>
  <c r="Q10" i="14"/>
  <c r="K27" i="48"/>
  <c r="K31"/>
  <c r="K25"/>
  <c r="K32"/>
  <c r="K30"/>
  <c r="K26"/>
  <c r="K29"/>
  <c r="K24"/>
  <c r="K22"/>
  <c r="K28"/>
  <c r="J10" i="14"/>
  <c r="J16" s="1"/>
  <c r="J27" s="1"/>
  <c r="I5" i="48"/>
  <c r="J30"/>
  <c r="J29"/>
  <c r="J31"/>
  <c r="J24"/>
  <c r="J32"/>
  <c r="J27"/>
  <c r="J28"/>
  <c r="Q11" i="14"/>
  <c r="P4" i="48"/>
  <c r="C24" i="14"/>
  <c r="C26" s="1"/>
  <c r="B7" i="48"/>
  <c r="O4"/>
  <c r="P11" i="14"/>
  <c r="I32" i="48"/>
  <c r="I22"/>
  <c r="I25"/>
  <c r="I29"/>
  <c r="I26"/>
  <c r="I27"/>
  <c r="I28"/>
  <c r="I24"/>
  <c r="I31"/>
  <c r="I30"/>
  <c r="E11" i="14"/>
  <c r="D4" i="48"/>
  <c r="D22" s="1"/>
  <c r="H32"/>
  <c r="H25"/>
  <c r="H26"/>
  <c r="H28"/>
  <c r="H24"/>
  <c r="H29"/>
  <c r="H22"/>
  <c r="H30"/>
  <c r="H23"/>
  <c r="D11" i="14"/>
  <c r="C4" i="48"/>
  <c r="G32"/>
  <c r="G26"/>
  <c r="G30"/>
  <c r="G29"/>
  <c r="G25"/>
  <c r="G24"/>
  <c r="G22"/>
  <c r="G23"/>
  <c r="C11" i="14"/>
  <c r="B4" i="48"/>
  <c r="F28"/>
  <c r="F32"/>
  <c r="F27"/>
  <c r="F30"/>
  <c r="F24"/>
  <c r="F31"/>
  <c r="F29"/>
  <c r="N31"/>
  <c r="N24"/>
  <c r="N27"/>
  <c r="N32"/>
  <c r="N30"/>
  <c r="N28"/>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9"/>
  <c r="M25"/>
  <c r="M26"/>
  <c r="M30"/>
  <c r="M23"/>
  <c r="P10" i="14"/>
  <c r="O5" i="48"/>
  <c r="O23" s="1"/>
  <c r="O22"/>
  <c r="K15"/>
  <c r="K23"/>
  <c r="F4"/>
  <c r="F22" s="1"/>
  <c r="G11" i="14"/>
  <c r="H13" i="48"/>
  <c r="H31" s="1"/>
  <c r="I18" i="14"/>
  <c r="P8" i="48"/>
  <c r="P26" s="1"/>
  <c r="Q13" i="14"/>
  <c r="H18"/>
  <c r="G13" i="48"/>
  <c r="M13"/>
  <c r="M31" s="1"/>
  <c r="N18" i="14"/>
  <c r="I23" i="48"/>
  <c r="I15"/>
  <c r="J12" i="17"/>
  <c r="K54" i="14" s="1"/>
  <c r="K56" s="1"/>
  <c r="K24"/>
  <c r="K26" s="1"/>
  <c r="J7" i="48"/>
  <c r="J25" s="1"/>
  <c r="P15"/>
  <c r="P22"/>
  <c r="P33" s="1"/>
  <c r="J46" i="14"/>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N20" i="14"/>
  <c r="M9" i="48"/>
  <c r="E7"/>
  <c r="E25" s="1"/>
  <c r="F24" i="14"/>
  <c r="F26" s="1"/>
  <c r="E9" i="48"/>
  <c r="E27" s="1"/>
  <c r="F20" i="14"/>
  <c r="F22" s="1"/>
  <c r="I20"/>
  <c r="I22" s="1"/>
  <c r="I27" s="1"/>
  <c r="H9" i="48"/>
  <c r="P13" i="14"/>
  <c r="P16" s="1"/>
  <c r="P27" s="1"/>
  <c r="O8" i="48"/>
  <c r="O26" s="1"/>
  <c r="O33" s="1"/>
  <c r="M10"/>
  <c r="M28" s="1"/>
  <c r="N19" i="14"/>
  <c r="D9" i="48"/>
  <c r="D27" s="1"/>
  <c r="E20" i="14"/>
  <c r="E22" s="1"/>
  <c r="C20"/>
  <c r="B9" i="48"/>
  <c r="R18" i="14"/>
  <c r="E12" i="17"/>
  <c r="F54" i="14" s="1"/>
  <c r="F56" s="1"/>
  <c r="N22"/>
  <c r="N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G9"/>
  <c r="H20" i="14"/>
  <c r="H22" s="1"/>
  <c r="H27" s="1"/>
  <c r="K10"/>
  <c r="J5" i="48"/>
  <c r="J23" s="1"/>
  <c r="M27"/>
  <c r="M33" s="1"/>
  <c r="M15"/>
  <c r="F10" i="14"/>
  <c r="E5" i="48"/>
  <c r="E23" s="1"/>
  <c r="G28"/>
  <c r="Q10"/>
  <c r="N63" i="14"/>
  <c r="I63"/>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J26" s="1"/>
  <c r="J33" s="1"/>
  <c r="F13" i="14"/>
  <c r="F16" s="1"/>
  <c r="F27" s="1"/>
  <c r="E8" i="48"/>
  <c r="K46" i="14"/>
  <c r="K61"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<sst xmlns="http://schemas.openxmlformats.org/spreadsheetml/2006/main" count="2531" uniqueCount="969">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</sst>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742</v>
      </c>
      <c r="B2" s="401"/>
      <c r="C2" s="402"/>
    </row>
    <row r="3" spans="1:7" s="12" customFormat="1" ht="15" customHeight="1">
      <c r="A3" s="94"/>
      <c r="B3" s="75"/>
      <c r="C3" s="95"/>
    </row>
    <row r="4" spans="1:7" s="12" customFormat="1" ht="15.75" customHeight="1" thickBot="1">
      <c r="A4" s="106" t="s">
        <v>941</v>
      </c>
      <c r="B4" s="107"/>
      <c r="C4" s="108"/>
    </row>
    <row r="5" spans="1:7" s="395" customFormat="1" ht="15.75" customHeight="1">
      <c r="A5" s="392" t="s">
        <v>0</v>
      </c>
      <c r="B5" s="393"/>
      <c r="C5" s="394"/>
    </row>
    <row r="6" spans="1:7" s="395" customFormat="1" ht="15" customHeight="1">
      <c r="A6" s="396" t="str">
        <f>txtNIS</f>
        <v>71022</v>
      </c>
      <c r="B6" s="397"/>
      <c r="C6" s="398"/>
    </row>
    <row r="7" spans="1:7" s="395" customFormat="1" ht="15.75" customHeight="1">
      <c r="A7" s="399" t="str">
        <f>txtMunicipality</f>
        <v>HASSELT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688</v>
      </c>
      <c r="B10" s="1058"/>
      <c r="C10" s="1059"/>
    </row>
    <row r="11" spans="1:7" s="389" customFormat="1" ht="15.75" thickBot="1">
      <c r="A11" s="412" t="s">
        <v>360</v>
      </c>
      <c r="B11" s="415"/>
      <c r="C11" s="416"/>
      <c r="G11" s="390"/>
    </row>
    <row r="12" spans="1:7">
      <c r="A12" s="45"/>
      <c r="B12" s="44"/>
      <c r="C12" s="97"/>
    </row>
    <row r="13" spans="1:7" s="389" customFormat="1">
      <c r="A13" s="767" t="s">
        <v>636</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686</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593</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596</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623</v>
      </c>
      <c r="B17" s="510">
        <f ca="1">'EF ele_warmte'!B12</f>
        <v>0.20253453484573741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596</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614</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623</v>
      </c>
      <c r="B29" s="511">
        <f ca="1">'EF ele_warmte'!B12</f>
        <v>0.20253453484573741</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584</v>
      </c>
      <c r="B10" s="513"/>
      <c r="C10" s="143" t="s">
        <v>182</v>
      </c>
      <c r="D10" s="146" t="s">
        <v>393</v>
      </c>
      <c r="I10" s="1182"/>
      <c r="K10" s="59"/>
    </row>
    <row r="11" spans="1:11" s="44" customFormat="1">
      <c r="A11" s="45" t="s">
        <v>585</v>
      </c>
      <c r="B11" s="48"/>
      <c r="D11" s="144" t="s">
        <v>394</v>
      </c>
      <c r="I11" s="1182"/>
      <c r="K11" s="59"/>
    </row>
    <row r="12" spans="1:11" s="44" customFormat="1">
      <c r="A12" s="45" t="s">
        <v>586</v>
      </c>
      <c r="B12" s="48"/>
      <c r="D12" s="144" t="s">
        <v>394</v>
      </c>
      <c r="I12" s="1182"/>
      <c r="K12" s="59"/>
    </row>
    <row r="13" spans="1:11" s="44" customFormat="1">
      <c r="A13" s="45"/>
      <c r="B13" s="461"/>
      <c r="D13" s="97"/>
      <c r="I13" s="1182"/>
    </row>
    <row r="14" spans="1:11" s="44" customFormat="1">
      <c r="A14" s="306" t="s">
        <v>583</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594</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584</v>
      </c>
      <c r="B31" s="513"/>
      <c r="C31" s="143" t="s">
        <v>182</v>
      </c>
      <c r="D31" s="146" t="s">
        <v>393</v>
      </c>
    </row>
    <row r="32" spans="1:11">
      <c r="A32" s="451" t="s">
        <v>585</v>
      </c>
      <c r="B32" s="48"/>
      <c r="C32" s="49"/>
      <c r="D32" s="144" t="s">
        <v>394</v>
      </c>
    </row>
    <row r="33" spans="1:11">
      <c r="A33" s="45"/>
      <c r="B33" s="49"/>
      <c r="C33" s="49"/>
      <c r="D33" s="144"/>
    </row>
    <row r="34" spans="1:11" s="44" customFormat="1">
      <c r="A34" s="306" t="s">
        <v>583</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587</v>
      </c>
      <c r="B50" s="48"/>
      <c r="C50" s="33"/>
      <c r="D50" s="145" t="s">
        <v>395</v>
      </c>
    </row>
    <row r="51" spans="1:4">
      <c r="A51" s="45" t="s">
        <v>588</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589</v>
      </c>
      <c r="B57" s="48"/>
      <c r="C57" s="33"/>
      <c r="D57" s="144" t="s">
        <v>155</v>
      </c>
    </row>
    <row r="58" spans="1:4">
      <c r="A58" s="45" t="s">
        <v>590</v>
      </c>
      <c r="B58" s="48"/>
      <c r="C58" s="33"/>
      <c r="D58" s="144" t="s">
        <v>156</v>
      </c>
    </row>
    <row r="59" spans="1:4">
      <c r="A59" s="45" t="s">
        <v>591</v>
      </c>
      <c r="B59" s="48"/>
      <c r="C59" s="49"/>
      <c r="D59" s="144" t="s">
        <v>391</v>
      </c>
    </row>
    <row r="60" spans="1:4">
      <c r="A60" s="45" t="s">
        <v>592</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609</v>
      </c>
      <c r="B1" s="648"/>
      <c r="C1" s="648"/>
      <c r="D1" s="648"/>
      <c r="E1" s="649"/>
    </row>
    <row r="2" spans="1:5">
      <c r="A2" s="660" t="s">
        <v>396</v>
      </c>
      <c r="B2" s="665" t="s">
        <v>532</v>
      </c>
      <c r="C2" s="661"/>
      <c r="D2" s="661"/>
      <c r="E2" s="662"/>
    </row>
    <row r="3" spans="1:5">
      <c r="A3" s="663"/>
      <c r="B3" s="664"/>
      <c r="C3" s="652"/>
      <c r="D3" s="652"/>
      <c r="E3" s="653"/>
    </row>
    <row r="4" spans="1:5" s="335" customFormat="1" ht="45">
      <c r="A4" s="651" t="s">
        <v>613</v>
      </c>
      <c r="B4" s="659" t="s">
        <v>602</v>
      </c>
      <c r="C4" s="680" t="s">
        <v>624</v>
      </c>
      <c r="D4" s="681" t="s">
        <v>625</v>
      </c>
      <c r="E4" s="682" t="s">
        <v>626</v>
      </c>
    </row>
    <row r="5" spans="1:5">
      <c r="A5" s="654" t="s">
        <v>603</v>
      </c>
      <c r="B5" s="646" t="s">
        <v>604</v>
      </c>
      <c r="C5" s="677">
        <v>3.678273E-2</v>
      </c>
      <c r="D5" s="678">
        <v>0.27778000000000003</v>
      </c>
      <c r="E5" s="670">
        <f>C5*D5</f>
        <v>1.0217506739400001E-2</v>
      </c>
    </row>
    <row r="6" spans="1:5">
      <c r="A6" s="654" t="s">
        <v>603</v>
      </c>
      <c r="B6" s="646" t="s">
        <v>605</v>
      </c>
      <c r="C6" s="677">
        <v>4.2278999999999997E-2</v>
      </c>
      <c r="D6" s="678">
        <v>0.27778000000000003</v>
      </c>
      <c r="E6" s="670">
        <f t="shared" ref="E6:E21" si="0">C6*D6</f>
        <v>1.174426062E-2</v>
      </c>
    </row>
    <row r="7" spans="1:5">
      <c r="A7" s="654" t="s">
        <v>603</v>
      </c>
      <c r="B7" s="646" t="s">
        <v>606</v>
      </c>
      <c r="C7" s="677">
        <v>42.279000000000003</v>
      </c>
      <c r="D7" s="678">
        <v>0.27778000000000003</v>
      </c>
      <c r="E7" s="670">
        <f t="shared" si="0"/>
        <v>11.744260620000002</v>
      </c>
    </row>
    <row r="8" spans="1:5">
      <c r="A8" s="654" t="s">
        <v>607</v>
      </c>
      <c r="B8" s="646" t="s">
        <v>604</v>
      </c>
      <c r="C8" s="677">
        <v>3.8573799999999998E-2</v>
      </c>
      <c r="D8" s="678">
        <v>0.27778000000000003</v>
      </c>
      <c r="E8" s="670">
        <f t="shared" si="0"/>
        <v>1.0715030164E-2</v>
      </c>
    </row>
    <row r="9" spans="1:5">
      <c r="A9" s="654" t="s">
        <v>607</v>
      </c>
      <c r="B9" s="646" t="s">
        <v>605</v>
      </c>
      <c r="C9" s="677">
        <v>4.0604000000000001E-2</v>
      </c>
      <c r="D9" s="678">
        <v>0.27778000000000003</v>
      </c>
      <c r="E9" s="670">
        <f t="shared" si="0"/>
        <v>1.1278979120000001E-2</v>
      </c>
    </row>
    <row r="10" spans="1:5">
      <c r="A10" s="654" t="s">
        <v>607</v>
      </c>
      <c r="B10" s="646" t="s">
        <v>606</v>
      </c>
      <c r="C10" s="677">
        <v>40.603999999999999</v>
      </c>
      <c r="D10" s="678">
        <v>0.27778000000000003</v>
      </c>
      <c r="E10" s="670">
        <f t="shared" si="0"/>
        <v>11.278979120000001</v>
      </c>
    </row>
    <row r="11" spans="1:5">
      <c r="A11" s="654" t="s">
        <v>627</v>
      </c>
      <c r="B11" s="646" t="s">
        <v>604</v>
      </c>
      <c r="C11" s="677">
        <v>2.3511000000000001E-2</v>
      </c>
      <c r="D11" s="678">
        <v>0.27778000000000003</v>
      </c>
      <c r="E11" s="670">
        <f t="shared" si="0"/>
        <v>6.5308855800000004E-3</v>
      </c>
    </row>
    <row r="12" spans="1:5">
      <c r="A12" s="654" t="s">
        <v>627</v>
      </c>
      <c r="B12" s="646" t="s">
        <v>605</v>
      </c>
      <c r="C12" s="677">
        <v>4.6100000000000002E-2</v>
      </c>
      <c r="D12" s="678">
        <v>0.27778000000000003</v>
      </c>
      <c r="E12" s="670">
        <f t="shared" si="0"/>
        <v>1.2805658000000001E-2</v>
      </c>
    </row>
    <row r="13" spans="1:5">
      <c r="A13" s="654" t="s">
        <v>627</v>
      </c>
      <c r="B13" s="646" t="s">
        <v>606</v>
      </c>
      <c r="C13" s="677">
        <v>46.1</v>
      </c>
      <c r="D13" s="678">
        <v>0.27778000000000003</v>
      </c>
      <c r="E13" s="670">
        <f t="shared" si="0"/>
        <v>12.805658000000001</v>
      </c>
    </row>
    <row r="14" spans="1:5">
      <c r="A14" s="654" t="s">
        <v>628</v>
      </c>
      <c r="B14" s="646" t="s">
        <v>604</v>
      </c>
      <c r="C14" s="677">
        <v>2.6525139999999999E-2</v>
      </c>
      <c r="D14" s="678">
        <v>0.27778000000000003</v>
      </c>
      <c r="E14" s="670">
        <f t="shared" si="0"/>
        <v>7.3681533892000009E-3</v>
      </c>
    </row>
    <row r="15" spans="1:5">
      <c r="A15" s="654" t="s">
        <v>628</v>
      </c>
      <c r="B15" s="646" t="s">
        <v>605</v>
      </c>
      <c r="C15" s="677">
        <v>4.5733000000000003E-2</v>
      </c>
      <c r="D15" s="678">
        <v>0.27778000000000003</v>
      </c>
      <c r="E15" s="670">
        <f t="shared" si="0"/>
        <v>1.2703712740000001E-2</v>
      </c>
    </row>
    <row r="16" spans="1:5">
      <c r="A16" s="654" t="s">
        <v>628</v>
      </c>
      <c r="B16" s="646" t="s">
        <v>606</v>
      </c>
      <c r="C16" s="677">
        <v>45.732999999999997</v>
      </c>
      <c r="D16" s="678">
        <v>0.27778000000000003</v>
      </c>
      <c r="E16" s="670">
        <f t="shared" si="0"/>
        <v>12.70371274</v>
      </c>
    </row>
    <row r="17" spans="1:10">
      <c r="A17" s="654" t="s">
        <v>611</v>
      </c>
      <c r="B17" s="646" t="s">
        <v>608</v>
      </c>
      <c r="C17" s="677">
        <v>3.2923000000000001E-2</v>
      </c>
      <c r="D17" s="678">
        <f>0.27778</f>
        <v>0.27778000000000003</v>
      </c>
      <c r="E17" s="670">
        <f t="shared" si="0"/>
        <v>9.1453509400000015E-3</v>
      </c>
    </row>
    <row r="18" spans="1:10">
      <c r="A18" s="654" t="s">
        <v>612</v>
      </c>
      <c r="B18" s="646" t="s">
        <v>608</v>
      </c>
      <c r="C18" s="677">
        <v>3.8852400000000002E-2</v>
      </c>
      <c r="D18" s="678">
        <f>0.27778</f>
        <v>0.27778000000000003</v>
      </c>
      <c r="E18" s="670">
        <f t="shared" si="0"/>
        <v>1.0792419672000002E-2</v>
      </c>
    </row>
    <row r="19" spans="1:10">
      <c r="A19" s="654" t="s">
        <v>615</v>
      </c>
      <c r="B19" s="646" t="s">
        <v>604</v>
      </c>
      <c r="C19" s="677">
        <v>2.4812460000000001E-2</v>
      </c>
      <c r="D19" s="678">
        <v>0.27778000000000003</v>
      </c>
      <c r="E19" s="670">
        <f t="shared" si="0"/>
        <v>6.8924051388000009E-3</v>
      </c>
    </row>
    <row r="20" spans="1:10">
      <c r="A20" s="654" t="s">
        <v>615</v>
      </c>
      <c r="B20" s="646" t="s">
        <v>605</v>
      </c>
      <c r="C20" s="677">
        <v>4.5948999999999997E-2</v>
      </c>
      <c r="D20" s="678">
        <v>0.27778000000000003</v>
      </c>
      <c r="E20" s="670">
        <f t="shared" si="0"/>
        <v>1.276371322E-2</v>
      </c>
    </row>
    <row r="21" spans="1:10">
      <c r="A21" s="654" t="s">
        <v>615</v>
      </c>
      <c r="B21" s="646" t="s">
        <v>606</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610</v>
      </c>
      <c r="B24" s="648"/>
      <c r="C24" s="648"/>
      <c r="D24" s="648"/>
      <c r="E24" s="649"/>
    </row>
    <row r="25" spans="1:10">
      <c r="A25" s="674" t="s">
        <v>396</v>
      </c>
      <c r="B25" s="652" t="s">
        <v>743</v>
      </c>
      <c r="C25" s="652"/>
      <c r="D25" s="652"/>
      <c r="E25" s="653"/>
    </row>
    <row r="26" spans="1:10">
      <c r="A26" s="45"/>
      <c r="B26" s="44"/>
      <c r="C26" s="44"/>
      <c r="D26" s="44"/>
      <c r="E26" s="97"/>
    </row>
    <row r="27" spans="1:10" s="335" customFormat="1">
      <c r="A27" s="651" t="s">
        <v>613</v>
      </c>
      <c r="B27" s="659" t="s">
        <v>602</v>
      </c>
      <c r="C27" s="667"/>
      <c r="D27" s="666"/>
      <c r="E27" s="682" t="s">
        <v>617</v>
      </c>
    </row>
    <row r="28" spans="1:10">
      <c r="A28" s="654" t="s">
        <v>202</v>
      </c>
      <c r="B28" s="646" t="s">
        <v>604</v>
      </c>
      <c r="C28" s="668"/>
      <c r="D28" s="669"/>
      <c r="E28" s="676">
        <f>E29*0.853</f>
        <v>1.0116343055555555E-2</v>
      </c>
      <c r="G28" s="650"/>
      <c r="H28" s="790"/>
      <c r="I28" s="790"/>
      <c r="J28" s="790"/>
    </row>
    <row r="29" spans="1:10">
      <c r="A29" s="654" t="s">
        <v>202</v>
      </c>
      <c r="B29" s="646" t="s">
        <v>605</v>
      </c>
      <c r="C29" s="668"/>
      <c r="D29" s="669"/>
      <c r="E29" s="676">
        <f>0.042695/3.6</f>
        <v>1.1859722222222221E-2</v>
      </c>
      <c r="G29" s="650"/>
      <c r="H29" s="790"/>
      <c r="I29" s="790"/>
      <c r="J29" s="790"/>
    </row>
    <row r="30" spans="1:10">
      <c r="A30" s="654" t="s">
        <v>120</v>
      </c>
      <c r="B30" s="646" t="s">
        <v>604</v>
      </c>
      <c r="C30" s="668"/>
      <c r="D30" s="669"/>
      <c r="E30" s="676">
        <f>E31*0.755</f>
        <v>9.1803805555555566E-3</v>
      </c>
      <c r="H30" s="790"/>
      <c r="I30" s="790"/>
      <c r="J30" s="790"/>
    </row>
    <row r="31" spans="1:10">
      <c r="A31" s="654" t="s">
        <v>120</v>
      </c>
      <c r="B31" s="646" t="s">
        <v>605</v>
      </c>
      <c r="C31" s="668"/>
      <c r="D31" s="669"/>
      <c r="E31" s="676">
        <f>0.043774/3.6</f>
        <v>1.2159444444444445E-2</v>
      </c>
      <c r="H31" s="790"/>
      <c r="I31" s="790"/>
      <c r="J31" s="790"/>
    </row>
    <row r="32" spans="1:10">
      <c r="A32" s="654" t="s">
        <v>615</v>
      </c>
      <c r="B32" s="646" t="s">
        <v>604</v>
      </c>
      <c r="C32" s="668"/>
      <c r="D32" s="669"/>
      <c r="E32" s="676">
        <f>E33*0.55</f>
        <v>7.1139444444444453E-3</v>
      </c>
      <c r="H32" s="790"/>
    </row>
    <row r="33" spans="1:8">
      <c r="A33" s="654" t="s">
        <v>615</v>
      </c>
      <c r="B33" s="646" t="s">
        <v>605</v>
      </c>
      <c r="C33" s="668"/>
      <c r="D33" s="669"/>
      <c r="E33" s="676">
        <f>0.046564/3.6</f>
        <v>1.2934444444444445E-2</v>
      </c>
      <c r="H33" s="790"/>
    </row>
    <row r="34" spans="1:8">
      <c r="A34" s="654" t="s">
        <v>616</v>
      </c>
      <c r="B34" s="646" t="s">
        <v>604</v>
      </c>
      <c r="C34" s="668"/>
      <c r="D34" s="669"/>
      <c r="E34" s="676">
        <f>E35*0.0007</f>
        <v>9.3333333333333326E-6</v>
      </c>
      <c r="H34" s="790"/>
    </row>
    <row r="35" spans="1:8">
      <c r="A35" s="654" t="s">
        <v>616</v>
      </c>
      <c r="B35" s="646" t="s">
        <v>605</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629</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672</v>
      </c>
      <c r="C21" s="132" t="s">
        <v>597</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71022</v>
      </c>
      <c r="B1" s="1275"/>
      <c r="C1" s="1275"/>
      <c r="D1" s="1275"/>
      <c r="E1" s="1275"/>
      <c r="F1" s="1276"/>
    </row>
    <row r="3" spans="1:6" ht="19.5">
      <c r="A3" s="1277" t="s">
        <v>0</v>
      </c>
    </row>
    <row r="4" spans="1:6" ht="22.5">
      <c r="A4" s="1278" t="s">
        <v>566</v>
      </c>
    </row>
    <row r="5" spans="1:6" ht="22.5">
      <c r="A5" s="1278" t="s">
        <v>567</v>
      </c>
    </row>
    <row r="6" spans="1:6" ht="15.75" thickBot="1"/>
    <row r="7" spans="1:6" ht="20.25" thickBot="1">
      <c r="A7" s="1279" t="s">
        <v>1</v>
      </c>
      <c r="B7" s="336" t="s">
        <v>396</v>
      </c>
      <c r="C7" s="336" t="s">
        <v>666</v>
      </c>
      <c r="D7" s="336"/>
      <c r="E7" s="336"/>
      <c r="F7" s="337"/>
    </row>
    <row r="8" spans="1:6" ht="16.5" thickTop="1" thickBot="1">
      <c r="A8" s="1280" t="s">
        <v>4</v>
      </c>
      <c r="B8" s="1281">
        <v>2012</v>
      </c>
      <c r="C8" s="1281">
        <v>2020</v>
      </c>
      <c r="D8" s="1275"/>
      <c r="E8" s="1275"/>
      <c r="F8" s="1276"/>
    </row>
    <row r="9" spans="1:6">
      <c r="A9" s="1282" t="s">
        <v>2</v>
      </c>
      <c r="B9" s="338">
        <v>33745</v>
      </c>
      <c r="C9" s="338">
        <v>36094</v>
      </c>
      <c r="D9" s="338"/>
      <c r="E9" s="338"/>
      <c r="F9" s="338"/>
    </row>
    <row r="10" spans="1:6">
      <c r="A10" s="339"/>
    </row>
    <row r="11" spans="1:6" ht="15.75" thickBot="1">
      <c r="A11" s="339"/>
    </row>
    <row r="12" spans="1:6" ht="20.25" thickBot="1">
      <c r="A12" s="1279" t="s">
        <v>3</v>
      </c>
      <c r="B12" s="336" t="s">
        <v>396</v>
      </c>
      <c r="C12" s="336" t="s">
        <v>644</v>
      </c>
      <c r="D12" s="336"/>
      <c r="E12" s="336"/>
      <c r="F12" s="340"/>
    </row>
    <row r="13" spans="1:6" ht="16.5" thickTop="1" thickBot="1">
      <c r="A13" s="1283" t="s">
        <v>4</v>
      </c>
      <c r="B13" s="1284" t="s">
        <v>5</v>
      </c>
      <c r="C13" s="1284"/>
      <c r="D13" s="1284"/>
      <c r="E13" s="1284"/>
      <c r="F13" s="1285"/>
    </row>
    <row r="14" spans="1:6">
      <c r="A14" s="1286" t="s">
        <v>787</v>
      </c>
      <c r="B14" s="335">
        <v>3042</v>
      </c>
    </row>
    <row r="15" spans="1:6">
      <c r="A15" s="1286" t="s">
        <v>184</v>
      </c>
      <c r="B15" s="335">
        <v>3632</v>
      </c>
    </row>
    <row r="16" spans="1:6">
      <c r="A16" s="1286" t="s">
        <v>6</v>
      </c>
      <c r="B16" s="335">
        <v>516</v>
      </c>
    </row>
    <row r="17" spans="1:6">
      <c r="A17" s="1286" t="s">
        <v>7</v>
      </c>
      <c r="B17" s="335">
        <v>348</v>
      </c>
    </row>
    <row r="18" spans="1:6">
      <c r="A18" s="1286" t="s">
        <v>8</v>
      </c>
      <c r="B18" s="335">
        <v>562</v>
      </c>
    </row>
    <row r="19" spans="1:6">
      <c r="A19" s="1286" t="s">
        <v>9</v>
      </c>
      <c r="B19" s="335">
        <v>485</v>
      </c>
    </row>
    <row r="20" spans="1:6">
      <c r="A20" s="1286" t="s">
        <v>10</v>
      </c>
      <c r="B20" s="335">
        <v>505</v>
      </c>
    </row>
    <row r="21" spans="1:6">
      <c r="A21" s="1286" t="s">
        <v>11</v>
      </c>
      <c r="B21" s="335">
        <v>1399</v>
      </c>
    </row>
    <row r="22" spans="1:6">
      <c r="A22" s="1286" t="s">
        <v>12</v>
      </c>
      <c r="B22" s="335">
        <v>4034</v>
      </c>
    </row>
    <row r="23" spans="1:6">
      <c r="A23" s="1286" t="s">
        <v>13</v>
      </c>
      <c r="B23" s="335">
        <v>23</v>
      </c>
    </row>
    <row r="24" spans="1:6">
      <c r="A24" s="1286" t="s">
        <v>14</v>
      </c>
      <c r="B24" s="335">
        <v>19</v>
      </c>
    </row>
    <row r="25" spans="1:6">
      <c r="A25" s="1286" t="s">
        <v>15</v>
      </c>
      <c r="B25" s="335">
        <v>401</v>
      </c>
    </row>
    <row r="26" spans="1:6">
      <c r="A26" s="1286" t="s">
        <v>16</v>
      </c>
      <c r="B26" s="335">
        <v>819</v>
      </c>
    </row>
    <row r="27" spans="1:6">
      <c r="A27" s="1286" t="s">
        <v>17</v>
      </c>
      <c r="B27" s="335">
        <v>269</v>
      </c>
    </row>
    <row r="28" spans="1:6" s="341" customFormat="1">
      <c r="A28" s="1287" t="s">
        <v>18</v>
      </c>
      <c r="B28" s="1287">
        <v>47629</v>
      </c>
    </row>
    <row r="29" spans="1:6">
      <c r="A29" s="1287" t="s">
        <v>944</v>
      </c>
      <c r="B29" s="1287">
        <v>459</v>
      </c>
      <c r="C29" s="341"/>
      <c r="D29" s="341"/>
      <c r="E29" s="341"/>
      <c r="F29" s="341"/>
    </row>
    <row r="30" spans="1:6">
      <c r="A30" s="1282" t="s">
        <v>945</v>
      </c>
      <c r="B30" s="1282">
        <v>99</v>
      </c>
      <c r="C30" s="338"/>
      <c r="D30" s="338"/>
      <c r="E30" s="338"/>
      <c r="F30" s="338"/>
    </row>
    <row r="31" spans="1:6" ht="15.75" thickBot="1">
      <c r="A31" s="339"/>
    </row>
    <row r="32" spans="1:6" ht="20.25" thickBot="1">
      <c r="A32" s="1279" t="s">
        <v>19</v>
      </c>
      <c r="B32" s="336" t="s">
        <v>396</v>
      </c>
      <c r="C32" s="336" t="s">
        <v>673</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66</v>
      </c>
      <c r="D36" s="335">
        <v>15767574</v>
      </c>
      <c r="E36" s="335">
        <v>53</v>
      </c>
      <c r="F36" s="335">
        <v>3514476</v>
      </c>
    </row>
    <row r="37" spans="1:6">
      <c r="A37" s="1286" t="s">
        <v>25</v>
      </c>
      <c r="B37" s="1286" t="s">
        <v>28</v>
      </c>
      <c r="C37" s="335">
        <v>0</v>
      </c>
      <c r="D37" s="335">
        <v>0</v>
      </c>
      <c r="E37" s="335">
        <v>0</v>
      </c>
      <c r="F37" s="335">
        <v>0</v>
      </c>
    </row>
    <row r="38" spans="1:6">
      <c r="A38" s="1286" t="s">
        <v>25</v>
      </c>
      <c r="B38" s="1286" t="s">
        <v>29</v>
      </c>
      <c r="C38" s="335">
        <v>0</v>
      </c>
      <c r="D38" s="335">
        <v>0</v>
      </c>
      <c r="E38" s="335">
        <v>2</v>
      </c>
      <c r="F38" s="335">
        <v>562578</v>
      </c>
    </row>
    <row r="39" spans="1:6">
      <c r="A39" s="1286" t="s">
        <v>30</v>
      </c>
      <c r="B39" s="1286" t="s">
        <v>31</v>
      </c>
      <c r="C39" s="335">
        <v>21699</v>
      </c>
      <c r="D39" s="335">
        <v>331307329</v>
      </c>
      <c r="E39" s="335">
        <v>34448</v>
      </c>
      <c r="F39" s="335">
        <v>125872522</v>
      </c>
    </row>
    <row r="40" spans="1:6">
      <c r="A40" s="1286" t="s">
        <v>30</v>
      </c>
      <c r="B40" s="1286" t="s">
        <v>29</v>
      </c>
      <c r="C40" s="335">
        <v>0</v>
      </c>
      <c r="D40" s="335">
        <v>0</v>
      </c>
      <c r="E40" s="335">
        <v>0</v>
      </c>
      <c r="F40" s="335">
        <v>0</v>
      </c>
    </row>
    <row r="41" spans="1:6">
      <c r="A41" s="1286" t="s">
        <v>32</v>
      </c>
      <c r="B41" s="1286" t="s">
        <v>33</v>
      </c>
      <c r="C41" s="335">
        <v>266</v>
      </c>
      <c r="D41" s="335">
        <v>18803026</v>
      </c>
      <c r="E41" s="335">
        <v>594</v>
      </c>
      <c r="F41" s="335">
        <v>34579629</v>
      </c>
    </row>
    <row r="42" spans="1:6">
      <c r="A42" s="1286" t="s">
        <v>32</v>
      </c>
      <c r="B42" s="1286" t="s">
        <v>34</v>
      </c>
      <c r="C42" s="335">
        <v>6</v>
      </c>
      <c r="D42" s="335">
        <v>1120378</v>
      </c>
      <c r="E42" s="335">
        <v>7</v>
      </c>
      <c r="F42" s="335">
        <v>357009</v>
      </c>
    </row>
    <row r="43" spans="1:6">
      <c r="A43" s="1286" t="s">
        <v>32</v>
      </c>
      <c r="B43" s="1286" t="s">
        <v>35</v>
      </c>
      <c r="C43" s="335">
        <v>0</v>
      </c>
      <c r="D43" s="335">
        <v>0</v>
      </c>
      <c r="E43" s="335">
        <v>0</v>
      </c>
      <c r="F43" s="335">
        <v>0</v>
      </c>
    </row>
    <row r="44" spans="1:6">
      <c r="A44" s="1286" t="s">
        <v>32</v>
      </c>
      <c r="B44" s="1286" t="s">
        <v>36</v>
      </c>
      <c r="C44" s="335">
        <v>24</v>
      </c>
      <c r="D44" s="335">
        <v>4941248</v>
      </c>
      <c r="E44" s="335">
        <v>82</v>
      </c>
      <c r="F44" s="335">
        <v>4176545</v>
      </c>
    </row>
    <row r="45" spans="1:6">
      <c r="A45" s="1286" t="s">
        <v>32</v>
      </c>
      <c r="B45" s="1286" t="s">
        <v>37</v>
      </c>
      <c r="C45" s="335">
        <v>9</v>
      </c>
      <c r="D45" s="335">
        <v>64656712</v>
      </c>
      <c r="E45" s="335">
        <v>20</v>
      </c>
      <c r="F45" s="335">
        <v>13288497</v>
      </c>
    </row>
    <row r="46" spans="1:6">
      <c r="A46" s="1286" t="s">
        <v>32</v>
      </c>
      <c r="B46" s="1286" t="s">
        <v>38</v>
      </c>
      <c r="C46" s="335">
        <v>0</v>
      </c>
      <c r="D46" s="335">
        <v>0</v>
      </c>
      <c r="E46" s="335">
        <v>0</v>
      </c>
      <c r="F46" s="335">
        <v>0</v>
      </c>
    </row>
    <row r="47" spans="1:6">
      <c r="A47" s="1286" t="s">
        <v>32</v>
      </c>
      <c r="B47" s="1286" t="s">
        <v>39</v>
      </c>
      <c r="C47" s="335">
        <v>12</v>
      </c>
      <c r="D47" s="335">
        <v>3868208</v>
      </c>
      <c r="E47" s="335">
        <v>21</v>
      </c>
      <c r="F47" s="335">
        <v>4132924</v>
      </c>
    </row>
    <row r="48" spans="1:6">
      <c r="A48" s="1286" t="s">
        <v>32</v>
      </c>
      <c r="B48" s="1286" t="s">
        <v>29</v>
      </c>
      <c r="C48" s="335">
        <v>1</v>
      </c>
      <c r="D48" s="335">
        <v>26126</v>
      </c>
      <c r="E48" s="335">
        <v>2</v>
      </c>
      <c r="F48" s="335">
        <v>68615</v>
      </c>
    </row>
    <row r="49" spans="1:6">
      <c r="A49" s="1286" t="s">
        <v>32</v>
      </c>
      <c r="B49" s="1286" t="s">
        <v>40</v>
      </c>
      <c r="C49" s="335">
        <v>12</v>
      </c>
      <c r="D49" s="335">
        <v>289835</v>
      </c>
      <c r="E49" s="335">
        <v>21</v>
      </c>
      <c r="F49" s="335">
        <v>451175</v>
      </c>
    </row>
    <row r="50" spans="1:6">
      <c r="A50" s="1286" t="s">
        <v>32</v>
      </c>
      <c r="B50" s="1286" t="s">
        <v>41</v>
      </c>
      <c r="C50" s="335">
        <v>41</v>
      </c>
      <c r="D50" s="335">
        <v>12407794</v>
      </c>
      <c r="E50" s="335">
        <v>103</v>
      </c>
      <c r="F50" s="335">
        <v>12149157</v>
      </c>
    </row>
    <row r="51" spans="1:6">
      <c r="A51" s="1286" t="s">
        <v>42</v>
      </c>
      <c r="B51" s="1286" t="s">
        <v>43</v>
      </c>
      <c r="C51" s="335">
        <v>27</v>
      </c>
      <c r="D51" s="335">
        <v>2569172</v>
      </c>
      <c r="E51" s="335">
        <v>121</v>
      </c>
      <c r="F51" s="335">
        <v>3383685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358</v>
      </c>
      <c r="F54" s="335">
        <v>4953417</v>
      </c>
    </row>
    <row r="55" spans="1:6">
      <c r="A55" s="1286" t="s">
        <v>46</v>
      </c>
      <c r="B55" s="1286" t="s">
        <v>29</v>
      </c>
      <c r="C55" s="335">
        <v>0</v>
      </c>
      <c r="D55" s="335">
        <v>0</v>
      </c>
      <c r="E55" s="335">
        <v>0</v>
      </c>
      <c r="F55" s="335">
        <v>0</v>
      </c>
    </row>
    <row r="56" spans="1:6">
      <c r="A56" s="1286" t="s">
        <v>48</v>
      </c>
      <c r="B56" s="1286" t="s">
        <v>29</v>
      </c>
      <c r="C56" s="335">
        <v>415</v>
      </c>
      <c r="D56" s="335">
        <v>27761110</v>
      </c>
      <c r="E56" s="335">
        <v>882</v>
      </c>
      <c r="F56" s="335">
        <v>5435084</v>
      </c>
    </row>
    <row r="57" spans="1:6">
      <c r="A57" s="1286" t="s">
        <v>49</v>
      </c>
      <c r="B57" s="1286" t="s">
        <v>50</v>
      </c>
      <c r="C57" s="335">
        <v>253</v>
      </c>
      <c r="D57" s="335">
        <v>20019617</v>
      </c>
      <c r="E57" s="335">
        <v>536</v>
      </c>
      <c r="F57" s="335">
        <v>16016562</v>
      </c>
    </row>
    <row r="58" spans="1:6">
      <c r="A58" s="1286" t="s">
        <v>49</v>
      </c>
      <c r="B58" s="1286" t="s">
        <v>51</v>
      </c>
      <c r="C58" s="335">
        <v>192</v>
      </c>
      <c r="D58" s="335">
        <v>32313025</v>
      </c>
      <c r="E58" s="335">
        <v>317</v>
      </c>
      <c r="F58" s="335">
        <v>18615224</v>
      </c>
    </row>
    <row r="59" spans="1:6">
      <c r="A59" s="1286" t="s">
        <v>49</v>
      </c>
      <c r="B59" s="1286" t="s">
        <v>52</v>
      </c>
      <c r="C59" s="335">
        <v>674</v>
      </c>
      <c r="D59" s="335">
        <v>36489852</v>
      </c>
      <c r="E59" s="335">
        <v>1348</v>
      </c>
      <c r="F59" s="335">
        <v>62778497</v>
      </c>
    </row>
    <row r="60" spans="1:6">
      <c r="A60" s="1286" t="s">
        <v>49</v>
      </c>
      <c r="B60" s="1286" t="s">
        <v>53</v>
      </c>
      <c r="C60" s="335">
        <v>290</v>
      </c>
      <c r="D60" s="335">
        <v>19800920</v>
      </c>
      <c r="E60" s="335">
        <v>426</v>
      </c>
      <c r="F60" s="335">
        <v>18603760</v>
      </c>
    </row>
    <row r="61" spans="1:6">
      <c r="A61" s="1286" t="s">
        <v>49</v>
      </c>
      <c r="B61" s="1286" t="s">
        <v>54</v>
      </c>
      <c r="C61" s="335">
        <v>924</v>
      </c>
      <c r="D61" s="335">
        <v>83535969</v>
      </c>
      <c r="E61" s="335">
        <v>2332</v>
      </c>
      <c r="F61" s="335">
        <v>71433758</v>
      </c>
    </row>
    <row r="62" spans="1:6">
      <c r="A62" s="1286" t="s">
        <v>49</v>
      </c>
      <c r="B62" s="1286" t="s">
        <v>55</v>
      </c>
      <c r="C62" s="335">
        <v>62</v>
      </c>
      <c r="D62" s="335">
        <v>22758965</v>
      </c>
      <c r="E62" s="335">
        <v>92</v>
      </c>
      <c r="F62" s="335">
        <v>9139233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2418559</v>
      </c>
      <c r="E65" s="335">
        <v>2</v>
      </c>
      <c r="F65" s="335">
        <v>921</v>
      </c>
    </row>
    <row r="66" spans="1:6">
      <c r="A66" s="1286" t="s">
        <v>56</v>
      </c>
      <c r="B66" s="1286" t="s">
        <v>58</v>
      </c>
      <c r="C66" s="335">
        <v>0</v>
      </c>
      <c r="D66" s="335">
        <v>0</v>
      </c>
      <c r="E66" s="335">
        <v>5</v>
      </c>
      <c r="F66" s="335">
        <v>43305</v>
      </c>
    </row>
    <row r="67" spans="1:6">
      <c r="A67" s="1287" t="s">
        <v>56</v>
      </c>
      <c r="B67" s="1287" t="s">
        <v>59</v>
      </c>
      <c r="C67" s="335">
        <v>0</v>
      </c>
      <c r="D67" s="335">
        <v>0</v>
      </c>
      <c r="E67" s="335">
        <v>0</v>
      </c>
      <c r="F67" s="335">
        <v>0</v>
      </c>
    </row>
    <row r="68" spans="1:6">
      <c r="A68" s="1282" t="s">
        <v>56</v>
      </c>
      <c r="B68" s="1282" t="s">
        <v>60</v>
      </c>
      <c r="C68" s="335">
        <v>24</v>
      </c>
      <c r="D68" s="335">
        <v>2391546</v>
      </c>
      <c r="E68" s="335">
        <v>40</v>
      </c>
      <c r="F68" s="335">
        <v>1106120</v>
      </c>
    </row>
    <row r="69" spans="1:6" ht="15.75" thickBot="1">
      <c r="A69" s="339"/>
    </row>
    <row r="70" spans="1:6" ht="19.5">
      <c r="A70" s="1279" t="s">
        <v>61</v>
      </c>
      <c r="B70" s="336"/>
      <c r="C70" s="336" t="s">
        <v>414</v>
      </c>
      <c r="D70" s="336" t="s">
        <v>830</v>
      </c>
      <c r="E70" s="336"/>
      <c r="F70" s="340"/>
    </row>
    <row r="71" spans="1:6" ht="20.25" thickBot="1">
      <c r="A71" s="1294"/>
      <c r="B71" s="342"/>
      <c r="C71" s="342"/>
      <c r="D71" s="343" t="s">
        <v>456</v>
      </c>
      <c r="E71" s="342"/>
      <c r="F71" s="344"/>
    </row>
    <row r="72" spans="1:6" ht="16.5" thickTop="1" thickBot="1">
      <c r="A72" s="1283" t="s">
        <v>62</v>
      </c>
      <c r="B72" s="1284" t="s">
        <v>63</v>
      </c>
      <c r="C72" s="1295" t="s">
        <v>766</v>
      </c>
      <c r="D72" s="1296">
        <v>2012</v>
      </c>
      <c r="E72" s="1296">
        <v>2020</v>
      </c>
      <c r="F72" s="1285"/>
    </row>
    <row r="73" spans="1:6">
      <c r="A73" s="1286" t="s">
        <v>64</v>
      </c>
      <c r="B73" s="1286" t="s">
        <v>773</v>
      </c>
      <c r="C73" s="1297" t="s">
        <v>767</v>
      </c>
      <c r="D73" s="335">
        <v>344376010</v>
      </c>
      <c r="E73" s="335">
        <v>465643721.14458215</v>
      </c>
    </row>
    <row r="74" spans="1:6">
      <c r="A74" s="1286" t="s">
        <v>64</v>
      </c>
      <c r="B74" s="1286" t="s">
        <v>774</v>
      </c>
      <c r="C74" s="1297" t="s">
        <v>768</v>
      </c>
      <c r="D74" s="335">
        <v>23643953.506165449</v>
      </c>
      <c r="E74" s="335">
        <v>31153518.472615205</v>
      </c>
    </row>
    <row r="75" spans="1:6">
      <c r="A75" s="1286" t="s">
        <v>65</v>
      </c>
      <c r="B75" s="1286" t="s">
        <v>773</v>
      </c>
      <c r="C75" s="1297" t="s">
        <v>769</v>
      </c>
      <c r="D75" s="335">
        <v>93950179</v>
      </c>
      <c r="E75" s="335">
        <v>132782186.18107045</v>
      </c>
    </row>
    <row r="76" spans="1:6">
      <c r="A76" s="1286" t="s">
        <v>65</v>
      </c>
      <c r="B76" s="1286" t="s">
        <v>774</v>
      </c>
      <c r="C76" s="1297" t="s">
        <v>770</v>
      </c>
      <c r="D76" s="335">
        <v>238343.90000000002</v>
      </c>
      <c r="E76" s="335">
        <v>781028.01626734482</v>
      </c>
    </row>
    <row r="77" spans="1:6">
      <c r="A77" s="1286" t="s">
        <v>66</v>
      </c>
      <c r="B77" s="1286" t="s">
        <v>773</v>
      </c>
      <c r="C77" s="1297" t="s">
        <v>771</v>
      </c>
      <c r="D77" s="335">
        <v>208571607</v>
      </c>
      <c r="E77" s="335">
        <v>229387139.12407723</v>
      </c>
    </row>
    <row r="78" spans="1:6">
      <c r="A78" s="1282" t="s">
        <v>66</v>
      </c>
      <c r="B78" s="1282" t="s">
        <v>774</v>
      </c>
      <c r="C78" s="1282" t="s">
        <v>772</v>
      </c>
      <c r="D78" s="1282">
        <v>23693104</v>
      </c>
      <c r="E78" s="1282">
        <v>24059922.493268732</v>
      </c>
      <c r="F78" s="338"/>
    </row>
    <row r="79" spans="1:6">
      <c r="A79" s="1298"/>
      <c r="B79" s="1298"/>
    </row>
    <row r="80" spans="1:6" ht="15.75" thickBot="1">
      <c r="A80" s="1298"/>
      <c r="B80" s="1298"/>
    </row>
    <row r="81" spans="1:6" ht="20.25" thickBot="1">
      <c r="A81" s="1279" t="s">
        <v>334</v>
      </c>
      <c r="B81" s="1299" t="s">
        <v>396</v>
      </c>
      <c r="C81" s="336" t="s">
        <v>831</v>
      </c>
      <c r="D81" s="336"/>
      <c r="E81" s="336"/>
      <c r="F81" s="340"/>
    </row>
    <row r="82" spans="1:6" ht="16.5" thickTop="1" thickBot="1">
      <c r="A82" s="1283" t="s">
        <v>335</v>
      </c>
      <c r="B82" s="1296">
        <v>2012</v>
      </c>
      <c r="C82" s="1296">
        <v>2020</v>
      </c>
      <c r="D82" s="1284"/>
      <c r="E82" s="1284"/>
      <c r="F82" s="1285"/>
    </row>
    <row r="83" spans="1:6">
      <c r="A83" s="1286" t="s">
        <v>336</v>
      </c>
      <c r="B83" s="335">
        <v>5033968.9876691019</v>
      </c>
      <c r="C83" s="335">
        <v>4760445.0188903017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568</v>
      </c>
      <c r="B89" s="335">
        <v>0</v>
      </c>
    </row>
    <row r="90" spans="1:6">
      <c r="A90" s="1286" t="s">
        <v>569</v>
      </c>
      <c r="B90" s="1301">
        <v>14237.021407305889</v>
      </c>
    </row>
    <row r="91" spans="1:6">
      <c r="A91" s="1286" t="s">
        <v>68</v>
      </c>
      <c r="B91" s="335">
        <v>11273.253463711022</v>
      </c>
    </row>
    <row r="92" spans="1:6">
      <c r="A92" s="1282" t="s">
        <v>69</v>
      </c>
      <c r="B92" s="338">
        <v>8528.1764022262923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12607</v>
      </c>
    </row>
    <row r="98" spans="1:6">
      <c r="A98" s="1286" t="s">
        <v>72</v>
      </c>
      <c r="B98" s="335">
        <v>2</v>
      </c>
    </row>
    <row r="99" spans="1:6">
      <c r="A99" s="1286" t="s">
        <v>73</v>
      </c>
      <c r="B99" s="335">
        <v>137</v>
      </c>
    </row>
    <row r="100" spans="1:6">
      <c r="A100" s="1286" t="s">
        <v>74</v>
      </c>
      <c r="B100" s="335">
        <v>1808</v>
      </c>
    </row>
    <row r="101" spans="1:6">
      <c r="A101" s="1286" t="s">
        <v>75</v>
      </c>
      <c r="B101" s="335">
        <v>132</v>
      </c>
    </row>
    <row r="102" spans="1:6">
      <c r="A102" s="1286" t="s">
        <v>76</v>
      </c>
      <c r="B102" s="335">
        <v>416</v>
      </c>
    </row>
    <row r="103" spans="1:6">
      <c r="A103" s="1286" t="s">
        <v>77</v>
      </c>
      <c r="B103" s="335">
        <v>298</v>
      </c>
    </row>
    <row r="104" spans="1:6">
      <c r="A104" s="1286" t="s">
        <v>78</v>
      </c>
      <c r="B104" s="335">
        <v>12509</v>
      </c>
    </row>
    <row r="105" spans="1:6">
      <c r="A105" s="1282" t="s">
        <v>79</v>
      </c>
      <c r="B105" s="1282">
        <v>11</v>
      </c>
      <c r="C105" s="338"/>
      <c r="D105" s="338"/>
      <c r="E105" s="338"/>
      <c r="F105" s="338"/>
    </row>
    <row r="106" spans="1:6">
      <c r="A106" s="339"/>
    </row>
    <row r="107" spans="1:6" ht="15.75" thickBot="1">
      <c r="A107" s="339"/>
    </row>
    <row r="108" spans="1:6" ht="20.25" thickBot="1">
      <c r="A108" s="1279" t="s">
        <v>710</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711</v>
      </c>
      <c r="B110" s="335">
        <v>0</v>
      </c>
    </row>
    <row r="111" spans="1:6">
      <c r="A111" s="1302" t="s">
        <v>712</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35</v>
      </c>
      <c r="C123" s="335">
        <v>37</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196</v>
      </c>
    </row>
    <row r="130" spans="1:6">
      <c r="A130" s="1286" t="s">
        <v>295</v>
      </c>
      <c r="B130" s="335">
        <v>0</v>
      </c>
    </row>
    <row r="131" spans="1:6">
      <c r="A131" s="1286" t="s">
        <v>296</v>
      </c>
      <c r="B131" s="335">
        <v>0</v>
      </c>
    </row>
    <row r="132" spans="1:6">
      <c r="A132" s="1282" t="s">
        <v>297</v>
      </c>
      <c r="B132" s="338">
        <v>34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753</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753</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754</v>
      </c>
      <c r="B44" s="518"/>
      <c r="D44" s="650"/>
    </row>
    <row r="45" spans="1:14">
      <c r="A45" s="45"/>
      <c r="B45" s="518"/>
      <c r="D45" s="650"/>
    </row>
    <row r="46" spans="1:14" ht="18">
      <c r="A46" s="138" t="s">
        <v>190</v>
      </c>
      <c r="B46" s="519" t="s">
        <v>595</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647</v>
      </c>
      <c r="B1" s="532"/>
      <c r="C1" s="533"/>
    </row>
    <row r="2" spans="1:3" s="335" customFormat="1">
      <c r="A2" s="377"/>
      <c r="B2" s="498"/>
      <c r="C2" s="535"/>
    </row>
    <row r="3" spans="1:3" s="335" customFormat="1">
      <c r="A3" s="375"/>
      <c r="B3" s="536">
        <v>2012</v>
      </c>
      <c r="C3" s="378" t="s">
        <v>182</v>
      </c>
    </row>
    <row r="4" spans="1:3">
      <c r="A4" s="121" t="s">
        <v>301</v>
      </c>
      <c r="B4" s="537">
        <v>3704.1355821353</v>
      </c>
      <c r="C4" s="140" t="s">
        <v>752</v>
      </c>
    </row>
    <row r="5" spans="1:3" ht="15.75" thickBot="1">
      <c r="A5" s="116" t="s">
        <v>646</v>
      </c>
      <c r="B5" s="538">
        <v>671603</v>
      </c>
      <c r="C5" s="141" t="s">
        <v>644</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684</v>
      </c>
      <c r="C6" s="423" t="s">
        <v>358</v>
      </c>
    </row>
    <row r="7" spans="1:3" s="335" customFormat="1">
      <c r="A7" s="424" t="s">
        <v>685</v>
      </c>
      <c r="B7" s="425" t="s">
        <v>622</v>
      </c>
      <c r="C7" s="426" t="s">
        <v>621</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420185.8072118843</v>
      </c>
      <c r="C3" s="44" t="s">
        <v>170</v>
      </c>
      <c r="D3" s="44"/>
      <c r="E3" s="157"/>
      <c r="F3" s="44"/>
      <c r="G3" s="44"/>
      <c r="H3" s="44"/>
      <c r="I3" s="44"/>
      <c r="J3" s="44"/>
      <c r="K3" s="97"/>
    </row>
    <row r="4" spans="1:11">
      <c r="A4" s="365" t="s">
        <v>171</v>
      </c>
      <c r="B4" s="50">
        <f>IF(ISERROR('SEAP template'!B78+'SEAP template'!C78),0,'SEAP template'!B78+'SEAP template'!C78)</f>
        <v>37502.101273243206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841</v>
      </c>
      <c r="G6" s="44" t="s">
        <v>847</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529.03800000000012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0.20253453484573741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755.76857142857159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3180.2142857142858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766</v>
      </c>
      <c r="B1" s="891" t="s">
        <v>308</v>
      </c>
      <c r="C1" s="891" t="s">
        <v>312</v>
      </c>
      <c r="D1" s="891" t="s">
        <v>313</v>
      </c>
      <c r="E1" s="891" t="s">
        <v>314</v>
      </c>
      <c r="F1" s="891" t="s">
        <v>315</v>
      </c>
      <c r="H1" s="902" t="s">
        <v>788</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776</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776</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776</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776</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773</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773</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773</v>
      </c>
      <c r="C9" s="890" t="s">
        <v>64</v>
      </c>
      <c r="D9" s="890" t="s">
        <v>735</v>
      </c>
      <c r="E9" s="890" t="s">
        <v>735</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773</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773</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773</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773</v>
      </c>
      <c r="C13" s="890" t="s">
        <v>64</v>
      </c>
      <c r="D13" s="890" t="s">
        <v>778</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773</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773</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773</v>
      </c>
      <c r="C16" s="890" t="s">
        <v>65</v>
      </c>
      <c r="D16" s="890" t="s">
        <v>735</v>
      </c>
      <c r="E16" s="890" t="s">
        <v>735</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773</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773</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773</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773</v>
      </c>
      <c r="C20" s="890" t="s">
        <v>65</v>
      </c>
      <c r="D20" s="890" t="s">
        <v>778</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773</v>
      </c>
      <c r="C21" s="890" t="s">
        <v>777</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773</v>
      </c>
      <c r="C22" s="890" t="s">
        <v>777</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773</v>
      </c>
      <c r="C23" s="890" t="s">
        <v>777</v>
      </c>
      <c r="D23" s="890" t="s">
        <v>735</v>
      </c>
      <c r="E23" s="890" t="s">
        <v>735</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773</v>
      </c>
      <c r="C24" s="890" t="s">
        <v>777</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773</v>
      </c>
      <c r="C25" s="890" t="s">
        <v>777</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773</v>
      </c>
      <c r="C26" s="890" t="s">
        <v>777</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773</v>
      </c>
      <c r="C27" s="890" t="s">
        <v>777</v>
      </c>
      <c r="D27" s="890" t="s">
        <v>778</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774</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774</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774</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774</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774</v>
      </c>
      <c r="C32" s="890" t="s">
        <v>777</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774</v>
      </c>
      <c r="C33" s="890" t="s">
        <v>777</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709</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4953.4170000000004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4953.4170000000004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0.20253453484573741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1003.2380079919682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125872.522</v>
      </c>
      <c r="C5" s="18">
        <f>IF(ISERROR('Eigen informatie GS &amp; warmtenet'!B57),0,'Eigen informatie GS &amp; warmtenet'!B57)</f>
        <v>0</v>
      </c>
      <c r="D5" s="31">
        <f>(SUM(HH_hh_gas_kWh,HH_rest_gas_kWh)/1000)*0.902</f>
        <v>298839.21075800003</v>
      </c>
      <c r="E5" s="18">
        <f>B46*B57</f>
        <v>11116.340244509109</v>
      </c>
      <c r="F5" s="18">
        <f>B51*B62</f>
        <v>85398.687413827938</v>
      </c>
      <c r="G5" s="19"/>
      <c r="H5" s="18"/>
      <c r="I5" s="18"/>
      <c r="J5" s="18">
        <f>B50*B61+C50*C61</f>
        <v>0</v>
      </c>
      <c r="K5" s="18"/>
      <c r="L5" s="18"/>
      <c r="M5" s="18"/>
      <c r="N5" s="18">
        <f>B48*B59+C48*C59</f>
        <v>34783.239697720353</v>
      </c>
      <c r="O5" s="18">
        <f>B69*B70*B71</f>
        <v>364.25666666666666</v>
      </c>
      <c r="P5" s="18">
        <f>B77*B78*B79/1000-B77*B78*B79/1000/B80</f>
        <v>1372.8</v>
      </c>
    </row>
    <row r="6" spans="1:16">
      <c r="A6" s="17" t="s">
        <v>641</v>
      </c>
      <c r="B6" s="780">
        <f>kWh_PV_kleiner_dan_10kW</f>
        <v>11273.253463711022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137145.775463711</v>
      </c>
      <c r="C8" s="22">
        <f>C5</f>
        <v>0</v>
      </c>
      <c r="D8" s="22">
        <f>D5</f>
        <v>298839.21075800003</v>
      </c>
      <c r="E8" s="22">
        <f>E5</f>
        <v>11116.340244509109</v>
      </c>
      <c r="F8" s="22">
        <f>F5</f>
        <v>85398.687413827938</v>
      </c>
      <c r="G8" s="22"/>
      <c r="H8" s="22"/>
      <c r="I8" s="22"/>
      <c r="J8" s="22">
        <f>J5</f>
        <v>0</v>
      </c>
      <c r="K8" s="22"/>
      <c r="L8" s="22">
        <f>L5</f>
        <v>0</v>
      </c>
      <c r="M8" s="22">
        <f>M5</f>
        <v>0</v>
      </c>
      <c r="N8" s="22">
        <f>N5</f>
        <v>34783.239697720353</v>
      </c>
      <c r="O8" s="22">
        <f>O5</f>
        <v>364.25666666666666</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0.20253453484573741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27776.755839600657</v>
      </c>
      <c r="C12" s="24">
        <f ca="1">C10*C8</f>
        <v>0</v>
      </c>
      <c r="D12" s="24">
        <f>D8*D10</f>
        <v>60365.520573116009</v>
      </c>
      <c r="E12" s="24">
        <f>E10*E8</f>
        <v>2523.4092355035677</v>
      </c>
      <c r="F12" s="24">
        <f>F10*F8</f>
        <v>22801.44953949206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12607</v>
      </c>
      <c r="C18" s="169" t="s">
        <v>111</v>
      </c>
      <c r="D18" s="231"/>
      <c r="E18" s="16"/>
    </row>
    <row r="19" spans="1:7">
      <c r="A19" s="174" t="s">
        <v>72</v>
      </c>
      <c r="B19" s="38">
        <f>aantalw2001_ander</f>
        <v>2</v>
      </c>
      <c r="C19" s="169" t="s">
        <v>111</v>
      </c>
      <c r="D19" s="232"/>
      <c r="E19" s="16"/>
    </row>
    <row r="20" spans="1:7">
      <c r="A20" s="174" t="s">
        <v>73</v>
      </c>
      <c r="B20" s="38">
        <f>aantalw2001_propaan</f>
        <v>137</v>
      </c>
      <c r="C20" s="170">
        <f>IF(ISERROR(B20/SUM($B$20,$B$21,$B$22)*100),0,B20/SUM($B$20,$B$21,$B$22)*100)</f>
        <v>6.5960519980741452</v>
      </c>
      <c r="D20" s="232"/>
      <c r="E20" s="16"/>
    </row>
    <row r="21" spans="1:7">
      <c r="A21" s="174" t="s">
        <v>74</v>
      </c>
      <c r="B21" s="38">
        <f>aantalw2001_elektriciteit</f>
        <v>1808</v>
      </c>
      <c r="C21" s="170">
        <f>IF(ISERROR(B21/SUM($B$20,$B$21,$B$22)*100),0,B21/SUM($B$20,$B$21,$B$22)*100)</f>
        <v>87.048627828598939</v>
      </c>
      <c r="D21" s="232"/>
      <c r="E21" s="16"/>
    </row>
    <row r="22" spans="1:7">
      <c r="A22" s="174" t="s">
        <v>75</v>
      </c>
      <c r="B22" s="38">
        <f>aantalw2001_hout</f>
        <v>132</v>
      </c>
      <c r="C22" s="170">
        <f>IF(ISERROR(B22/SUM($B$20,$B$21,$B$22)*100),0,B22/SUM($B$20,$B$21,$B$22)*100)</f>
        <v>6.3553201733269145</v>
      </c>
      <c r="D22" s="232"/>
      <c r="E22" s="16"/>
    </row>
    <row r="23" spans="1:7">
      <c r="A23" s="174" t="s">
        <v>76</v>
      </c>
      <c r="B23" s="38">
        <f>aantalw2001_niet_gespec</f>
        <v>416</v>
      </c>
      <c r="C23" s="169" t="s">
        <v>111</v>
      </c>
      <c r="D23" s="231"/>
      <c r="E23" s="16"/>
    </row>
    <row r="24" spans="1:7">
      <c r="A24" s="174" t="s">
        <v>77</v>
      </c>
      <c r="B24" s="38">
        <f>aantalw2001_steenkool</f>
        <v>298</v>
      </c>
      <c r="C24" s="169" t="s">
        <v>111</v>
      </c>
      <c r="D24" s="232"/>
      <c r="E24" s="16"/>
    </row>
    <row r="25" spans="1:7">
      <c r="A25" s="174" t="s">
        <v>78</v>
      </c>
      <c r="B25" s="38">
        <f>aantalw2001_stookolie</f>
        <v>12509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667</v>
      </c>
      <c r="B28" s="38">
        <f>aantalHuishoudens2011</f>
        <v>33745</v>
      </c>
      <c r="C28" s="37"/>
      <c r="D28" s="231"/>
    </row>
    <row r="29" spans="1:7" s="16" customFormat="1">
      <c r="A29" s="233" t="s">
        <v>668</v>
      </c>
      <c r="B29" s="38">
        <f>SUM(HH_hh_gas_aantal,HH_rest_gas_aantal)</f>
        <v>21699</v>
      </c>
      <c r="C29" s="37"/>
      <c r="D29" s="231"/>
    </row>
    <row r="30" spans="1:7" s="16" customFormat="1">
      <c r="A30" s="234"/>
      <c r="B30" s="30"/>
      <c r="C30" s="37"/>
      <c r="D30" s="235"/>
    </row>
    <row r="31" spans="1:7">
      <c r="A31" s="175" t="s">
        <v>669</v>
      </c>
      <c r="B31" s="171" t="s">
        <v>216</v>
      </c>
      <c r="C31" s="168" t="s">
        <v>217</v>
      </c>
      <c r="D31" s="177"/>
      <c r="G31" s="16"/>
    </row>
    <row r="32" spans="1:7">
      <c r="A32" s="174" t="s">
        <v>71</v>
      </c>
      <c r="B32" s="38">
        <f>B29</f>
        <v>21699</v>
      </c>
      <c r="C32" s="170">
        <f>IF(ISERROR(B32/SUM($B$32,$B$34,$B$35,$B$36,$B$38,$B$39)*100),0,B32/SUM($B$32,$B$34,$B$35,$B$36,$B$38,$B$39)*100)</f>
        <v>64.440352804917893</v>
      </c>
      <c r="D32" s="236"/>
      <c r="G32" s="16"/>
    </row>
    <row r="33" spans="1:7">
      <c r="A33" s="174" t="s">
        <v>72</v>
      </c>
      <c r="B33" s="35" t="s">
        <v>111</v>
      </c>
      <c r="C33" s="170"/>
      <c r="D33" s="236"/>
      <c r="G33" s="16"/>
    </row>
    <row r="34" spans="1:7">
      <c r="A34" s="174" t="s">
        <v>73</v>
      </c>
      <c r="B34" s="34">
        <f>IF((($B$28-$B$32-$B$39-$B$77-$B$38)*C20/100)&lt;0,0,($B$28-$B$32-$B$39-$B$77-$B$38)*C20/100)</f>
        <v>504.45286470871446</v>
      </c>
      <c r="C34" s="170">
        <f>IF(ISERROR(B34/SUM($B$32,$B$34,$B$35,$B$36,$B$38,$B$39)*100),0,B34/SUM($B$32,$B$34,$B$35,$B$36,$B$38,$B$39)*100)</f>
        <v>1.4980930261892746</v>
      </c>
      <c r="D34" s="236"/>
      <c r="G34" s="16"/>
    </row>
    <row r="35" spans="1:7">
      <c r="A35" s="174" t="s">
        <v>74</v>
      </c>
      <c r="B35" s="34">
        <f>IF((($B$28-$B$32-$B$39-$B$77-$B$38)*C21/100)&lt;0,0,($B$28-$B$32-$B$39-$B$77-$B$38)*C21/100)</f>
        <v>6657.3049590755891</v>
      </c>
      <c r="C35" s="170">
        <f>IF(ISERROR(B35/SUM($B$32,$B$34,$B$35,$B$36,$B$38,$B$39)*100),0,B35/SUM($B$32,$B$34,$B$35,$B$36,$B$38,$B$39)*100)</f>
        <v>19.770453951461377</v>
      </c>
      <c r="D35" s="236"/>
      <c r="G35" s="16"/>
    </row>
    <row r="36" spans="1:7">
      <c r="A36" s="174" t="s">
        <v>75</v>
      </c>
      <c r="B36" s="34">
        <f>IF((($B$28-$B$32-$B$39-$B$77-$B$38)*C22/100)&lt;0,0,($B$28-$B$32-$B$39-$B$77-$B$38)*C22/100)</f>
        <v>486.0421762156958</v>
      </c>
      <c r="C36" s="170">
        <f>IF(ISERROR(B36/SUM($B$32,$B$34,$B$35,$B$36,$B$38,$B$39)*100),0,B36/SUM($B$32,$B$34,$B$35,$B$36,$B$38,$B$39)*100)</f>
        <v>1.4434180982261628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4326.2</v>
      </c>
      <c r="C39" s="170">
        <f>IF(ISERROR(B39/SUM($B$32,$B$34,$B$35,$B$36,$B$38,$B$39)*100),0,B39/SUM($B$32,$B$34,$B$35,$B$36,$B$38,$B$39)*100)</f>
        <v>12.847682119205297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670</v>
      </c>
      <c r="C43" s="172" t="s">
        <v>671</v>
      </c>
      <c r="D43" s="177"/>
    </row>
    <row r="44" spans="1:7">
      <c r="A44" s="174" t="s">
        <v>71</v>
      </c>
      <c r="B44" s="34">
        <f t="shared" ref="B44:B52" si="0">B32</f>
        <v>21699</v>
      </c>
      <c r="C44" s="35" t="s">
        <v>111</v>
      </c>
      <c r="D44" s="177"/>
    </row>
    <row r="45" spans="1:7">
      <c r="A45" s="174" t="s">
        <v>72</v>
      </c>
      <c r="B45" s="34" t="str">
        <f t="shared" si="0"/>
        <v>-</v>
      </c>
      <c r="C45" s="35" t="s">
        <v>111</v>
      </c>
      <c r="D45" s="177"/>
    </row>
    <row r="46" spans="1:7">
      <c r="A46" s="174" t="s">
        <v>73</v>
      </c>
      <c r="B46" s="34">
        <f t="shared" si="0"/>
        <v>504.45286470871446</v>
      </c>
      <c r="C46" s="35" t="s">
        <v>111</v>
      </c>
      <c r="D46" s="177"/>
    </row>
    <row r="47" spans="1:7">
      <c r="A47" s="174" t="s">
        <v>74</v>
      </c>
      <c r="B47" s="34">
        <f t="shared" si="0"/>
        <v>6657.3049590755891</v>
      </c>
      <c r="C47" s="35" t="s">
        <v>111</v>
      </c>
      <c r="D47" s="177"/>
    </row>
    <row r="48" spans="1:7">
      <c r="A48" s="174" t="s">
        <v>75</v>
      </c>
      <c r="B48" s="34">
        <f t="shared" si="0"/>
        <v>486.0421762156958</v>
      </c>
      <c r="C48" s="34">
        <f>B48*10</f>
        <v>4860.4217621569578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4326.2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706</v>
      </c>
      <c r="C54" s="168" t="s">
        <v>707</v>
      </c>
      <c r="D54" s="303" t="s">
        <v>705</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196587.03400000001</v>
      </c>
      <c r="C5" s="18">
        <f>IF(ISERROR('Eigen informatie GS &amp; warmtenet'!B58),0,'Eigen informatie GS &amp; warmtenet'!B58)</f>
        <v>0</v>
      </c>
      <c r="D5" s="31">
        <f>SUM(D6:D12)</f>
        <v>193856.349896</v>
      </c>
      <c r="E5" s="18">
        <f>SUM(E6:E12)</f>
        <v>1575.8201407322131</v>
      </c>
      <c r="F5" s="18">
        <f>SUM(F6:F12)</f>
        <v>40143.064318267207</v>
      </c>
      <c r="G5" s="19"/>
      <c r="H5" s="18"/>
      <c r="I5" s="18"/>
      <c r="J5" s="18">
        <f>SUM(J6:J12)</f>
        <v>0</v>
      </c>
      <c r="K5" s="18"/>
      <c r="L5" s="18"/>
      <c r="M5" s="18"/>
      <c r="N5" s="18">
        <f>SUM(N6:N12)</f>
        <v>9758.1501768027392</v>
      </c>
      <c r="O5" s="18">
        <f>B38*B39*B40</f>
        <v>0</v>
      </c>
      <c r="P5" s="18">
        <f>B46*B47*B48/1000-B46*B47*B48/1000/B49</f>
        <v>0</v>
      </c>
      <c r="R5" s="33"/>
    </row>
    <row r="6" spans="1:18">
      <c r="A6" s="33" t="s">
        <v>54</v>
      </c>
      <c r="B6" s="38">
        <f>B26</f>
        <v>71433.758000000002</v>
      </c>
      <c r="C6" s="34"/>
      <c r="D6" s="38">
        <f>IF(ISERROR(TER_kantoor_gas_kWh/1000),0,TER_kantoor_gas_kWh/1000)*0.902</f>
        <v>75349.444038000001</v>
      </c>
      <c r="E6" s="34">
        <f>$C$26*'E Balans VL '!I12/100/3.6*1000000</f>
        <v>117.23727477554843</v>
      </c>
      <c r="F6" s="34">
        <f>$C$26*('E Balans VL '!L12+'E Balans VL '!N12)/100/3.6*1000000</f>
        <v>8420.3593231463547</v>
      </c>
      <c r="G6" s="35"/>
      <c r="H6" s="34"/>
      <c r="I6" s="34"/>
      <c r="J6" s="34">
        <f>$C$26*('E Balans VL '!D12+'E Balans VL '!E12)/100/3.6*1000000</f>
        <v>0</v>
      </c>
      <c r="K6" s="34"/>
      <c r="L6" s="34"/>
      <c r="M6" s="34"/>
      <c r="N6" s="34">
        <f>$C$26*'E Balans VL '!Y12/100/3.6*1000000</f>
        <v>14.432852537362869</v>
      </c>
      <c r="O6" s="34"/>
      <c r="P6" s="34"/>
      <c r="R6" s="33"/>
    </row>
    <row r="7" spans="1:18">
      <c r="A7" s="33" t="s">
        <v>53</v>
      </c>
      <c r="B7" s="38">
        <f t="shared" ref="B7:B12" si="0">B27</f>
        <v>18603.759999999998</v>
      </c>
      <c r="C7" s="34"/>
      <c r="D7" s="38">
        <f>IF(ISERROR(TER_horeca_gas_kWh/1000),0,TER_horeca_gas_kWh/1000)*0.902</f>
        <v>17860.429840000001</v>
      </c>
      <c r="E7" s="34">
        <f>$C$27*'E Balans VL '!I9/100/3.6*1000000</f>
        <v>965.40052431188576</v>
      </c>
      <c r="F7" s="34">
        <f>$C$27*('E Balans VL '!L9+'E Balans VL '!N9)/100/3.6*1000000</f>
        <v>4245.3915309551585</v>
      </c>
      <c r="G7" s="35"/>
      <c r="H7" s="34"/>
      <c r="I7" s="34"/>
      <c r="J7" s="34">
        <f>$C$27*('E Balans VL '!D9+'E Balans VL '!E9)/100/3.6*1000000</f>
        <v>0</v>
      </c>
      <c r="K7" s="34"/>
      <c r="L7" s="34"/>
      <c r="M7" s="34"/>
      <c r="N7" s="34">
        <f>$C$27*'E Balans VL '!Y9/100/3.6*1000000</f>
        <v>1.9645485304550321</v>
      </c>
      <c r="O7" s="34"/>
      <c r="P7" s="34"/>
      <c r="R7" s="33"/>
    </row>
    <row r="8" spans="1:18">
      <c r="A8" s="6" t="s">
        <v>52</v>
      </c>
      <c r="B8" s="38">
        <f t="shared" si="0"/>
        <v>62778.497000000003</v>
      </c>
      <c r="C8" s="34"/>
      <c r="D8" s="38">
        <f>IF(ISERROR(TER_handel_gas_kWh/1000),0,TER_handel_gas_kWh/1000)*0.902</f>
        <v>32913.846504000001</v>
      </c>
      <c r="E8" s="34">
        <f>$C$28*'E Balans VL '!I13/100/3.6*1000000</f>
        <v>338.06992079694777</v>
      </c>
      <c r="F8" s="34">
        <f>$C$28*('E Balans VL '!L13+'E Balans VL '!N13)/100/3.6*1000000</f>
        <v>12802.401147201484</v>
      </c>
      <c r="G8" s="35"/>
      <c r="H8" s="34"/>
      <c r="I8" s="34"/>
      <c r="J8" s="34">
        <f>$C$28*('E Balans VL '!D13+'E Balans VL '!E13)/100/3.6*1000000</f>
        <v>0</v>
      </c>
      <c r="K8" s="34"/>
      <c r="L8" s="34"/>
      <c r="M8" s="34"/>
      <c r="N8" s="34">
        <f>$C$28*'E Balans VL '!Y13/100/3.6*1000000</f>
        <v>312.16431320656909</v>
      </c>
      <c r="O8" s="34"/>
      <c r="P8" s="34"/>
      <c r="R8" s="33"/>
    </row>
    <row r="9" spans="1:18">
      <c r="A9" s="33" t="s">
        <v>51</v>
      </c>
      <c r="B9" s="38">
        <f t="shared" si="0"/>
        <v>18615.223999999998</v>
      </c>
      <c r="C9" s="34"/>
      <c r="D9" s="38">
        <f>IF(ISERROR(TER_gezond_gas_kWh/1000),0,TER_gezond_gas_kWh/1000)*0.902</f>
        <v>29146.348550000002</v>
      </c>
      <c r="E9" s="34">
        <f>$C$29*'E Balans VL '!I10/100/3.6*1000000</f>
        <v>18.447898675451221</v>
      </c>
      <c r="F9" s="34">
        <f>$C$29*('E Balans VL '!L10+'E Balans VL '!N10)/100/3.6*1000000</f>
        <v>6458.9461647531034</v>
      </c>
      <c r="G9" s="35"/>
      <c r="H9" s="34"/>
      <c r="I9" s="34"/>
      <c r="J9" s="34">
        <f>$C$29*('E Balans VL '!D10+'E Balans VL '!E10)/100/3.6*1000000</f>
        <v>0</v>
      </c>
      <c r="K9" s="34"/>
      <c r="L9" s="34"/>
      <c r="M9" s="34"/>
      <c r="N9" s="34">
        <f>$C$29*'E Balans VL '!Y10/100/3.6*1000000</f>
        <v>160.40577257887634</v>
      </c>
      <c r="O9" s="34"/>
      <c r="P9" s="34"/>
      <c r="R9" s="33"/>
    </row>
    <row r="10" spans="1:18">
      <c r="A10" s="33" t="s">
        <v>50</v>
      </c>
      <c r="B10" s="38">
        <f t="shared" si="0"/>
        <v>16016.562</v>
      </c>
      <c r="C10" s="34"/>
      <c r="D10" s="38">
        <f>IF(ISERROR(TER_ander_gas_kWh/1000),0,TER_ander_gas_kWh/1000)*0.902</f>
        <v>18057.694533999998</v>
      </c>
      <c r="E10" s="34">
        <f>$C$30*'E Balans VL '!I14/100/3.6*1000000</f>
        <v>131.0314845737056</v>
      </c>
      <c r="F10" s="34">
        <f>$C$30*('E Balans VL '!L14+'E Balans VL '!N14)/100/3.6*1000000</f>
        <v>4682.5906675548858</v>
      </c>
      <c r="G10" s="35"/>
      <c r="H10" s="34"/>
      <c r="I10" s="34"/>
      <c r="J10" s="34">
        <f>$C$30*('E Balans VL '!D14+'E Balans VL '!E14)/100/3.6*1000000</f>
        <v>0</v>
      </c>
      <c r="K10" s="34"/>
      <c r="L10" s="34"/>
      <c r="M10" s="34"/>
      <c r="N10" s="34">
        <f>$C$30*'E Balans VL '!Y14/100/3.6*1000000</f>
        <v>9239.4547234962902</v>
      </c>
      <c r="O10" s="34"/>
      <c r="P10" s="34"/>
      <c r="R10" s="33"/>
    </row>
    <row r="11" spans="1:18">
      <c r="A11" s="33" t="s">
        <v>55</v>
      </c>
      <c r="B11" s="38">
        <f t="shared" si="0"/>
        <v>9139.2330000000002</v>
      </c>
      <c r="C11" s="34"/>
      <c r="D11" s="38">
        <f>IF(ISERROR(TER_onderwijs_gas_kWh/1000),0,TER_onderwijs_gas_kWh/1000)*0.902</f>
        <v>20528.586429999999</v>
      </c>
      <c r="E11" s="34">
        <f>$C$31*'E Balans VL '!I11/100/3.6*1000000</f>
        <v>5.6330375986744246</v>
      </c>
      <c r="F11" s="34">
        <f>$C$31*('E Balans VL '!L11+'E Balans VL '!N11)/100/3.6*1000000</f>
        <v>3533.3754846562256</v>
      </c>
      <c r="G11" s="35"/>
      <c r="H11" s="34"/>
      <c r="I11" s="34"/>
      <c r="J11" s="34">
        <f>$C$31*('E Balans VL '!D11+'E Balans VL '!E11)/100/3.6*1000000</f>
        <v>0</v>
      </c>
      <c r="K11" s="34"/>
      <c r="L11" s="34"/>
      <c r="M11" s="34"/>
      <c r="N11" s="34">
        <f>$C$31*'E Balans VL '!Y11/100/3.6*1000000</f>
        <v>29.727966453184809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3238.65</v>
      </c>
      <c r="C13" s="250">
        <f ca="1">'lokale energieproductie'!O91+'lokale energieproductie'!O60</f>
        <v>2858.7857142857142</v>
      </c>
      <c r="D13" s="312">
        <f ca="1">('lokale energieproductie'!P60+'lokale energieproductie'!P91)*(-1)</f>
        <v>-5717.5714285714294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-3535.7142857142858</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199825.68400000001</v>
      </c>
      <c r="C16" s="22">
        <f t="shared" ca="1" si="1"/>
        <v>2858.7857142857142</v>
      </c>
      <c r="D16" s="22">
        <f t="shared" ca="1" si="1"/>
        <v>188138.77846742858</v>
      </c>
      <c r="E16" s="22">
        <f t="shared" si="1"/>
        <v>1575.8201407322131</v>
      </c>
      <c r="F16" s="22">
        <f t="shared" ca="1" si="1"/>
        <v>40143.064318267207</v>
      </c>
      <c r="G16" s="22">
        <f t="shared" si="1"/>
        <v>0</v>
      </c>
      <c r="H16" s="22">
        <f t="shared" si="1"/>
        <v>0</v>
      </c>
      <c r="I16" s="22">
        <f t="shared" si="1"/>
        <v>0</v>
      </c>
      <c r="J16" s="22">
        <f t="shared" si="1"/>
        <v>0</v>
      </c>
      <c r="K16" s="22">
        <f t="shared" si="1"/>
        <v>0</v>
      </c>
      <c r="L16" s="22">
        <f t="shared" ca="1" si="1"/>
        <v>0</v>
      </c>
      <c r="M16" s="22">
        <f t="shared" si="1"/>
        <v>0</v>
      </c>
      <c r="N16" s="22">
        <f t="shared" ca="1" si="1"/>
        <v>6222.435891088453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0.20253453484573741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40471.601959171312</v>
      </c>
      <c r="C20" s="24">
        <f t="shared" ref="C20:P20" ca="1" si="2">C16*C18</f>
        <v>679.38201680672285</v>
      </c>
      <c r="D20" s="24">
        <f t="shared" ca="1" si="2"/>
        <v>38004.033250420573</v>
      </c>
      <c r="E20" s="24">
        <f t="shared" si="2"/>
        <v>357.7111719462124</v>
      </c>
      <c r="F20" s="24">
        <f t="shared" ca="1" si="2"/>
        <v>10718.198172977345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71433.758000000002</v>
      </c>
      <c r="C26" s="40">
        <f>IF(ISERROR(B26*3.6/1000000/'E Balans VL '!Z12*100),0,B26*3.6/1000000/'E Balans VL '!Z12*100)</f>
        <v>1.5179161301345701</v>
      </c>
      <c r="D26" s="240" t="s">
        <v>709</v>
      </c>
      <c r="F26" s="6"/>
    </row>
    <row r="27" spans="1:18">
      <c r="A27" s="234" t="s">
        <v>53</v>
      </c>
      <c r="B27" s="34">
        <f>IF(ISERROR(TER_horeca_ele_kWh/1000),0,TER_horeca_ele_kWh/1000)</f>
        <v>18603.759999999998</v>
      </c>
      <c r="C27" s="40">
        <f>IF(ISERROR(B27*3.6/1000000/'E Balans VL '!Z9*100),0,B27*3.6/1000000/'E Balans VL '!Z9*100)</f>
        <v>1.4642597742521981</v>
      </c>
      <c r="D27" s="240" t="s">
        <v>709</v>
      </c>
      <c r="F27" s="6"/>
    </row>
    <row r="28" spans="1:18">
      <c r="A28" s="174" t="s">
        <v>52</v>
      </c>
      <c r="B28" s="34">
        <f>IF(ISERROR(TER_handel_ele_kWh/1000),0,TER_handel_ele_kWh/1000)</f>
        <v>62778.497000000003</v>
      </c>
      <c r="C28" s="40">
        <f>IF(ISERROR(B28*3.6/1000000/'E Balans VL '!Z13*100),0,B28*3.6/1000000/'E Balans VL '!Z13*100)</f>
        <v>1.7584592986951662</v>
      </c>
      <c r="D28" s="240" t="s">
        <v>709</v>
      </c>
      <c r="F28" s="6"/>
    </row>
    <row r="29" spans="1:18">
      <c r="A29" s="234" t="s">
        <v>51</v>
      </c>
      <c r="B29" s="34">
        <f>IF(ISERROR(TER_gezond_ele_kWh/1000),0,TER_gezond_ele_kWh/1000)</f>
        <v>18615.223999999998</v>
      </c>
      <c r="C29" s="40">
        <f>IF(ISERROR(B29*3.6/1000000/'E Balans VL '!Z10*100),0,B29*3.6/1000000/'E Balans VL '!Z10*100)</f>
        <v>2.3814500513032364</v>
      </c>
      <c r="D29" s="240" t="s">
        <v>709</v>
      </c>
      <c r="F29" s="6"/>
    </row>
    <row r="30" spans="1:18">
      <c r="A30" s="234" t="s">
        <v>50</v>
      </c>
      <c r="B30" s="34">
        <f>IF(ISERROR(TER_ander_ele_kWh/1000),0,TER_ander_ele_kWh/1000)</f>
        <v>16016.562</v>
      </c>
      <c r="C30" s="40">
        <f>IF(ISERROR(B30*3.6/1000000/'E Balans VL '!Z14*100),0,B30*3.6/1000000/'E Balans VL '!Z14*100)</f>
        <v>1.1979038796910217</v>
      </c>
      <c r="D30" s="240" t="s">
        <v>709</v>
      </c>
      <c r="F30" s="6"/>
    </row>
    <row r="31" spans="1:18">
      <c r="A31" s="234" t="s">
        <v>55</v>
      </c>
      <c r="B31" s="34">
        <f>IF(ISERROR(TER_onderwijs_ele_kWh/1000),0,TER_onderwijs_ele_kWh/1000)</f>
        <v>9139.2330000000002</v>
      </c>
      <c r="C31" s="40">
        <f>IF(ISERROR(B31*3.6/1000000/'E Balans VL '!Z11*100),0,B31*3.6/1000000/'E Balans VL '!Z11*100)</f>
        <v>1.929760886282688</v>
      </c>
      <c r="D31" s="240" t="s">
        <v>709</v>
      </c>
    </row>
    <row r="32" spans="1:18">
      <c r="A32" s="234" t="s">
        <v>260</v>
      </c>
      <c r="B32" s="34">
        <f>IF(ISERROR(TER_rest_ele_kWh/1000),0,TER_rest_ele_kWh/1000)</f>
        <v>0</v>
      </c>
      <c r="C32" s="40">
        <f>IF(ISERROR(B32*3.6/1000000/'E Balans VL '!Z8*100),0,B32*3.6/1000000/'E Balans VL '!Z8*100)</f>
        <v>0</v>
      </c>
      <c r="D32" s="240" t="s">
        <v>709</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69203.551000000007</v>
      </c>
      <c r="C5" s="18">
        <f>IF(ISERROR('Eigen informatie GS &amp; warmtenet'!B59),0,'Eigen informatie GS &amp; warmtenet'!B59)</f>
        <v>0</v>
      </c>
      <c r="D5" s="31">
        <f>SUM(D6:D15)</f>
        <v>95714.220954000019</v>
      </c>
      <c r="E5" s="18">
        <f>SUM(E6:E15)</f>
        <v>839.22316727889245</v>
      </c>
      <c r="F5" s="18">
        <f>SUM(F6:F15)</f>
        <v>33804.569876145426</v>
      </c>
      <c r="G5" s="19"/>
      <c r="H5" s="18"/>
      <c r="I5" s="18"/>
      <c r="J5" s="18">
        <f>SUM(J6:J15)</f>
        <v>159.91296162691609</v>
      </c>
      <c r="K5" s="18"/>
      <c r="L5" s="18"/>
      <c r="M5" s="18"/>
      <c r="N5" s="18">
        <f>SUM(N6:N15)</f>
        <v>4341.8786544085615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4176.5450000000001</v>
      </c>
      <c r="C8" s="34"/>
      <c r="D8" s="38">
        <f>IF( ISERROR(IND_metaal_Gas_kWH/1000),0,IND_metaal_Gas_kWH/1000)*0.902</f>
        <v>4457.0056960000002</v>
      </c>
      <c r="E8" s="34">
        <f>C30*'E Balans VL '!I18/100/3.6*1000000</f>
        <v>38.03504264999215</v>
      </c>
      <c r="F8" s="34">
        <f>C30*'E Balans VL '!L18/100/3.6*1000000+C30*'E Balans VL '!N18/100/3.6*1000000</f>
        <v>550.85456827250948</v>
      </c>
      <c r="G8" s="35"/>
      <c r="H8" s="34"/>
      <c r="I8" s="34"/>
      <c r="J8" s="41">
        <f>C30*'E Balans VL '!D18/100/3.6*1000000+C30*'E Balans VL '!E18/100/3.6*1000000</f>
        <v>68.48927387502259</v>
      </c>
      <c r="K8" s="34"/>
      <c r="L8" s="34"/>
      <c r="M8" s="34"/>
      <c r="N8" s="34">
        <f>C30*'E Balans VL '!Y18/100/3.6*1000000</f>
        <v>14.353126036754736</v>
      </c>
      <c r="O8" s="34"/>
      <c r="P8" s="34"/>
      <c r="R8" s="33"/>
    </row>
    <row r="9" spans="1:18">
      <c r="A9" s="6" t="s">
        <v>33</v>
      </c>
      <c r="B9" s="38">
        <f t="shared" si="0"/>
        <v>34579.629000000001</v>
      </c>
      <c r="C9" s="34"/>
      <c r="D9" s="38">
        <f>IF( ISERROR(IND_andere_gas_kWh/1000),0,IND_andere_gas_kWh/1000)*0.902</f>
        <v>16960.329452000002</v>
      </c>
      <c r="E9" s="34">
        <f>C31*'E Balans VL '!I19/100/3.6*1000000</f>
        <v>199.87542311813485</v>
      </c>
      <c r="F9" s="34">
        <f>C31*'E Balans VL '!L19/100/3.6*1000000+C31*'E Balans VL '!N19/100/3.6*1000000</f>
        <v>27509.758775404305</v>
      </c>
      <c r="G9" s="35"/>
      <c r="H9" s="34"/>
      <c r="I9" s="34"/>
      <c r="J9" s="41">
        <f>C31*'E Balans VL '!D19/100/3.6*1000000+C31*'E Balans VL '!E19/100/3.6*1000000</f>
        <v>3.2708488037602286</v>
      </c>
      <c r="K9" s="34"/>
      <c r="L9" s="34"/>
      <c r="M9" s="34"/>
      <c r="N9" s="34">
        <f>C31*'E Balans VL '!Y19/100/3.6*1000000</f>
        <v>2619.9302009002645</v>
      </c>
      <c r="O9" s="34"/>
      <c r="P9" s="34"/>
      <c r="R9" s="33"/>
    </row>
    <row r="10" spans="1:18">
      <c r="A10" s="6" t="s">
        <v>41</v>
      </c>
      <c r="B10" s="38">
        <f t="shared" si="0"/>
        <v>12149.156999999999</v>
      </c>
      <c r="C10" s="34"/>
      <c r="D10" s="38">
        <f>IF( ISERROR(IND_voed_gas_kWh/1000),0,IND_voed_gas_kWh/1000)*0.902</f>
        <v>11191.830188</v>
      </c>
      <c r="E10" s="34">
        <f>C32*'E Balans VL '!I20/100/3.6*1000000</f>
        <v>119.45799734305817</v>
      </c>
      <c r="F10" s="34">
        <f>C32*'E Balans VL '!L20/100/3.6*1000000+C32*'E Balans VL '!N20/100/3.6*1000000</f>
        <v>1349.3224634759786</v>
      </c>
      <c r="G10" s="35"/>
      <c r="H10" s="34"/>
      <c r="I10" s="34"/>
      <c r="J10" s="41">
        <f>C32*'E Balans VL '!D20/100/3.6*1000000+C32*'E Balans VL '!E20/100/3.6*1000000</f>
        <v>4.7885343122404549E-2</v>
      </c>
      <c r="K10" s="34"/>
      <c r="L10" s="34"/>
      <c r="M10" s="34"/>
      <c r="N10" s="34">
        <f>C32*'E Balans VL '!Y20/100/3.6*1000000</f>
        <v>179.90043734041191</v>
      </c>
      <c r="O10" s="34"/>
      <c r="P10" s="34"/>
      <c r="R10" s="33"/>
    </row>
    <row r="11" spans="1:18">
      <c r="A11" s="6" t="s">
        <v>40</v>
      </c>
      <c r="B11" s="38">
        <f t="shared" si="0"/>
        <v>451.17500000000001</v>
      </c>
      <c r="C11" s="34"/>
      <c r="D11" s="38">
        <f>IF( ISERROR(IND_textiel_gas_kWh/1000),0,IND_textiel_gas_kWh/1000)*0.902</f>
        <v>261.43117000000001</v>
      </c>
      <c r="E11" s="34">
        <f>C33*'E Balans VL '!I21/100/3.6*1000000</f>
        <v>0.87854249092375969</v>
      </c>
      <c r="F11" s="34">
        <f>C33*'E Balans VL '!L21/100/3.6*1000000+C33*'E Balans VL '!N21/100/3.6*1000000</f>
        <v>14.881232032378753</v>
      </c>
      <c r="G11" s="35"/>
      <c r="H11" s="34"/>
      <c r="I11" s="34"/>
      <c r="J11" s="41">
        <f>C33*'E Balans VL '!D21/100/3.6*1000000+C33*'E Balans VL '!E21/100/3.6*1000000</f>
        <v>0</v>
      </c>
      <c r="K11" s="34"/>
      <c r="L11" s="34"/>
      <c r="M11" s="34"/>
      <c r="N11" s="34">
        <f>C33*'E Balans VL '!Y21/100/3.6*1000000</f>
        <v>4.6798714202405023</v>
      </c>
      <c r="O11" s="34"/>
      <c r="P11" s="34"/>
      <c r="R11" s="33"/>
    </row>
    <row r="12" spans="1:18">
      <c r="A12" s="6" t="s">
        <v>37</v>
      </c>
      <c r="B12" s="38">
        <f t="shared" si="0"/>
        <v>13288.496999999999</v>
      </c>
      <c r="C12" s="34"/>
      <c r="D12" s="38">
        <f>IF( ISERROR(IND_min_gas_kWh/1000),0,IND_min_gas_kWh/1000)*0.902</f>
        <v>58320.354224000002</v>
      </c>
      <c r="E12" s="34">
        <f>C34*'E Balans VL '!I22/100/3.6*1000000</f>
        <v>336.88704576500385</v>
      </c>
      <c r="F12" s="34">
        <f>C34*'E Balans VL '!L22/100/3.6*1000000+C34*'E Balans VL '!N22/100/3.6*1000000</f>
        <v>3676.9734381559351</v>
      </c>
      <c r="G12" s="35"/>
      <c r="H12" s="34"/>
      <c r="I12" s="34"/>
      <c r="J12" s="41">
        <f>C34*'E Balans VL '!D22/100/3.6*1000000+C34*'E Balans VL '!E22/100/3.6*1000000</f>
        <v>87.75990452380168</v>
      </c>
      <c r="K12" s="34"/>
      <c r="L12" s="34"/>
      <c r="M12" s="34"/>
      <c r="N12" s="34">
        <f>C34*'E Balans VL '!Y22/100/3.6*1000000</f>
        <v>0</v>
      </c>
      <c r="O12" s="34"/>
      <c r="P12" s="34"/>
      <c r="R12" s="33"/>
    </row>
    <row r="13" spans="1:18">
      <c r="A13" s="6" t="s">
        <v>39</v>
      </c>
      <c r="B13" s="38">
        <f t="shared" si="0"/>
        <v>4132.924</v>
      </c>
      <c r="C13" s="34"/>
      <c r="D13" s="38">
        <f>IF( ISERROR(IND_papier_gas_kWh/1000),0,IND_papier_gas_kWh/1000)*0.902</f>
        <v>3489.1236160000003</v>
      </c>
      <c r="E13" s="34">
        <f>C35*'E Balans VL '!I23/100/3.6*1000000</f>
        <v>140.77338379237943</v>
      </c>
      <c r="F13" s="34">
        <f>C35*'E Balans VL '!L23/100/3.6*1000000+C35*'E Balans VL '!N23/100/3.6*1000000</f>
        <v>682.66204716164941</v>
      </c>
      <c r="G13" s="35"/>
      <c r="H13" s="34"/>
      <c r="I13" s="34"/>
      <c r="J13" s="41">
        <f>C35*'E Balans VL '!D23/100/3.6*1000000+C35*'E Balans VL '!E23/100/3.6*1000000</f>
        <v>0</v>
      </c>
      <c r="K13" s="34"/>
      <c r="L13" s="34"/>
      <c r="M13" s="34"/>
      <c r="N13" s="34">
        <f>C35*'E Balans VL '!Y23/100/3.6*1000000</f>
        <v>1520.8051955703659</v>
      </c>
      <c r="O13" s="34"/>
      <c r="P13" s="34"/>
      <c r="R13" s="33"/>
    </row>
    <row r="14" spans="1:18">
      <c r="A14" s="6" t="s">
        <v>34</v>
      </c>
      <c r="B14" s="38">
        <f t="shared" si="0"/>
        <v>357.00900000000001</v>
      </c>
      <c r="C14" s="34"/>
      <c r="D14" s="38">
        <f>IF( ISERROR(IND_chemie_gas_kWh/1000),0,IND_chemie_gas_kWh/1000)*0.902</f>
        <v>1010.580956</v>
      </c>
      <c r="E14" s="34">
        <f>C36*'E Balans VL '!I24/100/3.6*1000000</f>
        <v>2.6991789351568451</v>
      </c>
      <c r="F14" s="34">
        <f>C36*'E Balans VL '!L24/100/3.6*1000000+C36*'E Balans VL '!N24/100/3.6*1000000</f>
        <v>6.605653563392659</v>
      </c>
      <c r="G14" s="35"/>
      <c r="H14" s="34"/>
      <c r="I14" s="34"/>
      <c r="J14" s="41">
        <f>C36*'E Balans VL '!D24/100/3.6*1000000+C36*'E Balans VL '!E24/100/3.6*1000000</f>
        <v>0</v>
      </c>
      <c r="K14" s="34"/>
      <c r="L14" s="34"/>
      <c r="M14" s="34"/>
      <c r="N14" s="34">
        <f>C36*'E Balans VL '!Y24/100/3.6*1000000</f>
        <v>0.10352340411649216</v>
      </c>
      <c r="O14" s="34"/>
      <c r="P14" s="34"/>
      <c r="R14" s="33"/>
    </row>
    <row r="15" spans="1:18">
      <c r="A15" s="6" t="s">
        <v>270</v>
      </c>
      <c r="B15" s="38">
        <f t="shared" si="0"/>
        <v>68.614999999999995</v>
      </c>
      <c r="C15" s="34"/>
      <c r="D15" s="38">
        <f>IF( ISERROR(IND_rest_gas_kWh/1000),0,IND_rest_gas_kWh/1000)*0.902</f>
        <v>23.565652</v>
      </c>
      <c r="E15" s="34">
        <f>C37*'E Balans VL '!I15/100/3.6*1000000</f>
        <v>0.61655318424339334</v>
      </c>
      <c r="F15" s="34">
        <f>C37*'E Balans VL '!L15/100/3.6*1000000+C37*'E Balans VL '!N15/100/3.6*1000000</f>
        <v>13.511698079277581</v>
      </c>
      <c r="G15" s="35"/>
      <c r="H15" s="34"/>
      <c r="I15" s="34"/>
      <c r="J15" s="41">
        <f>C37*'E Balans VL '!D15/100/3.6*1000000+C37*'E Balans VL '!E15/100/3.6*1000000</f>
        <v>0.34504908120915939</v>
      </c>
      <c r="K15" s="34"/>
      <c r="L15" s="34"/>
      <c r="M15" s="34"/>
      <c r="N15" s="34">
        <f>C37*'E Balans VL '!Y15/100/3.6*1000000</f>
        <v>2.1062997364070539</v>
      </c>
      <c r="O15" s="34"/>
      <c r="P15" s="34"/>
      <c r="R15" s="33"/>
    </row>
    <row r="16" spans="1:18">
      <c r="A16" s="17" t="s">
        <v>502</v>
      </c>
      <c r="B16" s="250">
        <f>'lokale energieproductie'!N90+'lokale energieproductie'!N59</f>
        <v>225</v>
      </c>
      <c r="C16" s="250">
        <f>'lokale energieproductie'!O90+'lokale energieproductie'!O59</f>
        <v>321.42857142857144</v>
      </c>
      <c r="D16" s="312">
        <f>('lokale energieproductie'!P59+'lokale energieproductie'!P90)*(-1)</f>
        <v>-642.85714285714289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69428.551000000007</v>
      </c>
      <c r="C18" s="22">
        <f>C5+C16</f>
        <v>321.42857142857144</v>
      </c>
      <c r="D18" s="22">
        <f>MAX((D5+D16),0)</f>
        <v>95071.363811142874</v>
      </c>
      <c r="E18" s="22">
        <f>MAX((E5+E16),0)</f>
        <v>839.22316727889245</v>
      </c>
      <c r="F18" s="22">
        <f>MAX((F5+F16),0)</f>
        <v>33804.569876145426</v>
      </c>
      <c r="G18" s="22"/>
      <c r="H18" s="22"/>
      <c r="I18" s="22"/>
      <c r="J18" s="22">
        <f>MAX((J5+J16),0)</f>
        <v>159.91296162691609</v>
      </c>
      <c r="K18" s="22"/>
      <c r="L18" s="22">
        <f>MAX((L5+L16),0)</f>
        <v>0</v>
      </c>
      <c r="M18" s="22"/>
      <c r="N18" s="22">
        <f>MAX((N5+N16),0)</f>
        <v>4341.8786544085615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0.20253453484573741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14061.679281798559</v>
      </c>
      <c r="C22" s="24">
        <f ca="1">C18*C20</f>
        <v>76.386554621848759</v>
      </c>
      <c r="D22" s="24">
        <f>D18*D20</f>
        <v>19204.41548985086</v>
      </c>
      <c r="E22" s="24">
        <f>E18*E20</f>
        <v>190.50365897230859</v>
      </c>
      <c r="F22" s="24">
        <f>F18*F20</f>
        <v>9025.8201569308294</v>
      </c>
      <c r="G22" s="24"/>
      <c r="H22" s="24"/>
      <c r="I22" s="24"/>
      <c r="J22" s="24">
        <f>J18*J20</f>
        <v>56.609188415928294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709</v>
      </c>
    </row>
    <row r="29" spans="1:18">
      <c r="A29" s="174" t="s">
        <v>38</v>
      </c>
      <c r="B29" s="38">
        <f>IF( ISERROR(IND_nonf_ele_kWh/1000),0,IND_nonf_ele_kWh/1000)</f>
        <v>0</v>
      </c>
      <c r="C29" s="40">
        <f>IF(ISERROR(B29*3.6/1000000/'E Balans VL '!Z17*100),0,B29*3.6/1000000/'E Balans VL '!Z17*100)</f>
        <v>0</v>
      </c>
      <c r="D29" s="240" t="s">
        <v>709</v>
      </c>
    </row>
    <row r="30" spans="1:18">
      <c r="A30" s="174" t="s">
        <v>36</v>
      </c>
      <c r="B30" s="38">
        <f>IF( ISERROR(IND_metaal_ele_kWh/1000),0,IND_metaal_ele_kWh/1000)</f>
        <v>4176.5450000000001</v>
      </c>
      <c r="C30" s="40">
        <f>IF(ISERROR(B30*3.6/1000000/'E Balans VL '!Z18*100),0,B30*3.6/1000000/'E Balans VL '!Z18*100)</f>
        <v>0.2323968009332027</v>
      </c>
      <c r="D30" s="240" t="s">
        <v>709</v>
      </c>
    </row>
    <row r="31" spans="1:18">
      <c r="A31" s="6" t="s">
        <v>33</v>
      </c>
      <c r="B31" s="38">
        <f>IF( ISERROR(IND_ander_ele_kWh/1000),0,IND_ander_ele_kWh/1000)</f>
        <v>34579.629000000001</v>
      </c>
      <c r="C31" s="40">
        <f>IF(ISERROR(B31*3.6/1000000/'E Balans VL '!Z19*100),0,B31*3.6/1000000/'E Balans VL '!Z19*100)</f>
        <v>1.6075161356364265</v>
      </c>
      <c r="D31" s="240" t="s">
        <v>709</v>
      </c>
    </row>
    <row r="32" spans="1:18">
      <c r="A32" s="174" t="s">
        <v>41</v>
      </c>
      <c r="B32" s="38">
        <f>IF( ISERROR(IND_voed_ele_kWh/1000),0,IND_voed_ele_kWh/1000)</f>
        <v>12149.156999999999</v>
      </c>
      <c r="C32" s="40">
        <f>IF(ISERROR(B32*3.6/1000000/'E Balans VL '!Z20*100),0,B32*3.6/1000000/'E Balans VL '!Z20*100)</f>
        <v>0.42944816368831706</v>
      </c>
      <c r="D32" s="240" t="s">
        <v>709</v>
      </c>
    </row>
    <row r="33" spans="1:5">
      <c r="A33" s="174" t="s">
        <v>40</v>
      </c>
      <c r="B33" s="38">
        <f>IF( ISERROR(IND_textiel_ele_kWh/1000),0,IND_textiel_ele_kWh/1000)</f>
        <v>451.17500000000001</v>
      </c>
      <c r="C33" s="40">
        <f>IF(ISERROR(B33*3.6/1000000/'E Balans VL '!Z21*100),0,B33*3.6/1000000/'E Balans VL '!Z21*100)</f>
        <v>6.0938029850854725E-2</v>
      </c>
      <c r="D33" s="240" t="s">
        <v>709</v>
      </c>
    </row>
    <row r="34" spans="1:5">
      <c r="A34" s="174" t="s">
        <v>37</v>
      </c>
      <c r="B34" s="38">
        <f>IF( ISERROR(IND_min_ele_kWh/1000),0,IND_min_ele_kWh/1000)</f>
        <v>13288.496999999999</v>
      </c>
      <c r="C34" s="40">
        <f>IF(ISERROR(B34*3.6/1000000/'E Balans VL '!Z22*100),0,B34*3.6/1000000/'E Balans VL '!Z22*100)</f>
        <v>2.670613174044278</v>
      </c>
      <c r="D34" s="240" t="s">
        <v>709</v>
      </c>
    </row>
    <row r="35" spans="1:5">
      <c r="A35" s="174" t="s">
        <v>39</v>
      </c>
      <c r="B35" s="38">
        <f>IF( ISERROR(IND_papier_ele_kWh/1000),0,IND_papier_ele_kWh/1000)</f>
        <v>4132.924</v>
      </c>
      <c r="C35" s="40">
        <f>IF(ISERROR(B35*3.6/1000000/'E Balans VL '!Z22*100),0,B35*3.6/1000000/'E Balans VL '!Z22*100)</f>
        <v>0.8306011794805519</v>
      </c>
      <c r="D35" s="240" t="s">
        <v>709</v>
      </c>
    </row>
    <row r="36" spans="1:5">
      <c r="A36" s="174" t="s">
        <v>34</v>
      </c>
      <c r="B36" s="38">
        <f>IF( ISERROR(IND_chemie_ele_kWh/1000),0,IND_chemie_ele_kWh/1000)</f>
        <v>357.00900000000001</v>
      </c>
      <c r="C36" s="40">
        <f>IF(ISERROR(B36*3.6/1000000/'E Balans VL '!Z24*100),0,B36*3.6/1000000/'E Balans VL '!Z24*100)</f>
        <v>8.7914265372594762E-3</v>
      </c>
      <c r="D36" s="240" t="s">
        <v>709</v>
      </c>
    </row>
    <row r="37" spans="1:5">
      <c r="A37" s="174" t="s">
        <v>270</v>
      </c>
      <c r="B37" s="38">
        <f>IF( ISERROR(IND_rest_ele_kWh/1000),0,IND_rest_ele_kWh/1000)</f>
        <v>68.614999999999995</v>
      </c>
      <c r="C37" s="40">
        <f>IF(ISERROR(B37*3.6/1000000/'E Balans VL '!Z15*100),0,B37*3.6/1000000/'E Balans VL '!Z15*100)</f>
        <v>5.1814460968210103E-4</v>
      </c>
      <c r="D37" s="240" t="s">
        <v>709</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3383.6849999999999</v>
      </c>
      <c r="C5" s="18">
        <f>'Eigen informatie GS &amp; warmtenet'!B60</f>
        <v>0</v>
      </c>
      <c r="D5" s="31">
        <f>IF(ISERROR(SUM(LB_lb_gas_kWh,LB_rest_gas_kWh)/1000),0,SUM(LB_lb_gas_kWh,LB_rest_gas_kWh)/1000)*0.902</f>
        <v>2317.3931440000001</v>
      </c>
      <c r="E5" s="18">
        <f>B17*'E Balans VL '!I25/3.6*1000000/100</f>
        <v>31.876579843319323</v>
      </c>
      <c r="F5" s="18">
        <f>B17*('E Balans VL '!L25/3.6*1000000+'E Balans VL '!N25/3.6*1000000)/100</f>
        <v>11042.087101430681</v>
      </c>
      <c r="G5" s="19"/>
      <c r="H5" s="18"/>
      <c r="I5" s="18"/>
      <c r="J5" s="18">
        <f>('E Balans VL '!D25+'E Balans VL '!E25)/3.6*1000000*landbouw!B17/100</f>
        <v>418.57829274067853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3383.6849999999999</v>
      </c>
      <c r="C8" s="22">
        <f>C5+C6</f>
        <v>0</v>
      </c>
      <c r="D8" s="22">
        <f>MAX((D5+D6),0)</f>
        <v>2317.3931440000001</v>
      </c>
      <c r="E8" s="22">
        <f>MAX((E5+E6),0)</f>
        <v>31.876579843319323</v>
      </c>
      <c r="F8" s="22">
        <f>MAX((F5+F6),0)</f>
        <v>11042.087101430681</v>
      </c>
      <c r="G8" s="22"/>
      <c r="H8" s="22"/>
      <c r="I8" s="22"/>
      <c r="J8" s="22">
        <f>MAX((J5+J6),0)</f>
        <v>418.57829274067853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0.20253453484573741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685.313067539499</v>
      </c>
      <c r="C12" s="24">
        <f ca="1">C8*C10</f>
        <v>0</v>
      </c>
      <c r="D12" s="24">
        <f>D8*D10</f>
        <v>468.11341508800007</v>
      </c>
      <c r="E12" s="24">
        <f>E8*E10</f>
        <v>7.2359836244334863</v>
      </c>
      <c r="F12" s="24">
        <f>F8*F10</f>
        <v>2948.2372560819922</v>
      </c>
      <c r="G12" s="24"/>
      <c r="H12" s="24"/>
      <c r="I12" s="24"/>
      <c r="J12" s="24">
        <f>J8*J10</f>
        <v>148.17671563020019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0.45809687944213989</v>
      </c>
      <c r="C17" s="240" t="s">
        <v>709</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211.83112128369157</v>
      </c>
      <c r="C26" s="250">
        <f>B26*'GWP N2O_CH4'!B5</f>
        <v>4448.453546957523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71.41139853126819</v>
      </c>
      <c r="C27" s="250">
        <f>B27*'GWP N2O_CH4'!B5</f>
        <v>1499.639369156632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5.8522690099997092</v>
      </c>
      <c r="C28" s="250">
        <f>B28*'GWP N2O_CH4'!B4</f>
        <v>1814.2033930999098</v>
      </c>
      <c r="D28" s="51"/>
    </row>
    <row r="29" spans="1:4">
      <c r="A29" s="42" t="s">
        <v>277</v>
      </c>
      <c r="B29" s="250">
        <f>B34*'ha_N2O bodem landbouw'!B4</f>
        <v>16.777739886295301</v>
      </c>
      <c r="C29" s="250">
        <f>B29*'GWP N2O_CH4'!B4</f>
        <v>5201.0993647515434</v>
      </c>
      <c r="D29" s="51"/>
    </row>
    <row r="31" spans="1:4">
      <c r="A31" s="196" t="s">
        <v>509</v>
      </c>
      <c r="B31" s="206"/>
      <c r="C31" s="228"/>
    </row>
    <row r="32" spans="1:4">
      <c r="A32" s="239"/>
      <c r="B32" s="33"/>
      <c r="C32" s="240"/>
    </row>
    <row r="33" spans="1:5">
      <c r="A33" s="241"/>
      <c r="B33" s="227" t="s">
        <v>645</v>
      </c>
      <c r="C33" s="242" t="s">
        <v>182</v>
      </c>
    </row>
    <row r="34" spans="1:5">
      <c r="A34" s="260" t="s">
        <v>112</v>
      </c>
      <c r="B34" s="36">
        <f>IF(ISERROR(aantalCultuurgronden/'ha_N2O bodem landbouw'!B5),0,aantalCultuurgronden/'ha_N2O bodem landbouw'!B5)</f>
        <v>4.5294616015711664E-3</v>
      </c>
      <c r="C34" s="261" t="s">
        <v>644</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4.8998693423667466E-5</v>
      </c>
      <c r="C5" s="447" t="s">
        <v>211</v>
      </c>
      <c r="D5" s="432">
        <f>SUM(D6:D11)</f>
        <v>1.3480423261700043E-4</v>
      </c>
      <c r="E5" s="432">
        <f>SUM(E6:E11)</f>
        <v>8.4324961020638915E-3</v>
      </c>
      <c r="F5" s="445" t="s">
        <v>211</v>
      </c>
      <c r="G5" s="432">
        <f>SUM(G6:G11)</f>
        <v>1.6040973428036018</v>
      </c>
      <c r="H5" s="432">
        <f>SUM(H6:H11)</f>
        <v>0.30499621754352607</v>
      </c>
      <c r="I5" s="447" t="s">
        <v>211</v>
      </c>
      <c r="J5" s="447" t="s">
        <v>211</v>
      </c>
      <c r="K5" s="447" t="s">
        <v>211</v>
      </c>
      <c r="L5" s="447" t="s">
        <v>211</v>
      </c>
      <c r="M5" s="432">
        <f>SUM(M6:M11)</f>
        <v>8.5382382702851797E-2</v>
      </c>
      <c r="N5" s="447" t="s">
        <v>211</v>
      </c>
      <c r="O5" s="447" t="s">
        <v>211</v>
      </c>
      <c r="P5" s="448" t="s">
        <v>211</v>
      </c>
    </row>
    <row r="6" spans="1:18">
      <c r="A6" s="265" t="s">
        <v>767</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2.6084452042955859E-5</v>
      </c>
      <c r="C6" s="433"/>
      <c r="D6" s="433">
        <f>vkm_2011_GW_PW*SUMIFS(TableVerdeelsleutelVkm[CNG],TableVerdeelsleutelVkm[Voertuigtype],"Lichte voertuigen")*SUMIFS(TableECFTransport[EnergieConsumptieFactor (PJ per km)],TableECFTransport[Index],CONCATENATE($A6,"_CNG_CNG"))</f>
        <v>6.3698668727993213E-5</v>
      </c>
      <c r="E6" s="435">
        <f>vkm_2011_GW_PW*SUMIFS(TableVerdeelsleutelVkm[LPG],TableVerdeelsleutelVkm[Voertuigtype],"Lichte voertuigen")*SUMIFS(TableECFTransport[EnergieConsumptieFactor (PJ per km)],TableECFTransport[Index],CONCATENATE($A6,"_LPG_LPG"))</f>
        <v>3.7757278963281575E-3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0.54582588310018942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0.14304528267341768</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3.0848919437404327E-2</v>
      </c>
      <c r="N6" s="433"/>
      <c r="O6" s="433"/>
      <c r="P6" s="434"/>
    </row>
    <row r="7" spans="1:18">
      <c r="A7" s="265" t="s">
        <v>768</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0.21983061422482106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8.8693082364450627E-5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9.7933858485999784E-3</v>
      </c>
      <c r="N7" s="433"/>
      <c r="O7" s="433"/>
      <c r="P7" s="434"/>
    </row>
    <row r="8" spans="1:18">
      <c r="A8" s="265" t="s">
        <v>769</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7.1161720543559904E-6</v>
      </c>
      <c r="C8" s="433"/>
      <c r="D8" s="435">
        <f>vkm_2011_NGW_PW*SUMIFS(TableVerdeelsleutelVkm[CNG],TableVerdeelsleutelVkm[Voertuigtype],"Lichte voertuigen")*SUMIFS(TableECFTransport[EnergieConsumptieFactor (PJ per km)],TableECFTransport[Index],CONCATENATE($A8,"_CNG_CNG"))</f>
        <v>3.1178746038826912E-5</v>
      </c>
      <c r="E8" s="435">
        <f>vkm_2011_NGW_PW*SUMIFS(TableVerdeelsleutelVkm[LPG],TableVerdeelsleutelVkm[Voertuigtype],"Lichte voertuigen")*SUMIFS(TableECFTransport[EnergieConsumptieFactor (PJ per km)],TableECFTransport[Index],CONCATENATE($A8,"_LPG_LPG"))</f>
        <v>1.6954601257336205E-3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0.23154106050596329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6.7047822613574795E-2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1.337744902619932E-2</v>
      </c>
      <c r="N8" s="433"/>
      <c r="O8" s="433"/>
      <c r="P8" s="434"/>
    </row>
    <row r="9" spans="1:18">
      <c r="A9" s="265" t="s">
        <v>770</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3.072251711446883E-3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1.079256612677816E-6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1.3686053242545845E-4</v>
      </c>
      <c r="N9" s="433"/>
      <c r="O9" s="433"/>
      <c r="P9" s="434"/>
    </row>
    <row r="10" spans="1:18">
      <c r="A10" s="265" t="s">
        <v>771</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1.579806932635562E-5</v>
      </c>
      <c r="C10" s="433"/>
      <c r="D10" s="435">
        <f>vkm_2011_SW_PW*SUMIFS(TableVerdeelsleutelVkm[CNG],TableVerdeelsleutelVkm[Voertuigtype],"Lichte voertuigen")*SUMIFS(TableECFTransport[EnergieConsumptieFactor (PJ per km)],TableECFTransport[Index],CONCATENATE($A10,"_CNG_CNG"))</f>
        <v>3.992681785018031E-5</v>
      </c>
      <c r="E10" s="435">
        <f>vkm_2011_SW_PW*SUMIFS(TableVerdeelsleutelVkm[LPG],TableVerdeelsleutelVkm[Voertuigtype],"Lichte voertuigen")*SUMIFS(TableECFTransport[EnergieConsumptieFactor (PJ per km)],TableECFTransport[Index],CONCATENATE($A10,"_LPG_LPG"))</f>
        <v>2.9613080800021136E-3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0.39013577684528866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9.4721868863197251E-2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2.1705625882907371E-2</v>
      </c>
      <c r="N10" s="433"/>
      <c r="O10" s="433"/>
      <c r="P10" s="434"/>
    </row>
    <row r="11" spans="1:18">
      <c r="A11" s="4" t="s">
        <v>772</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0.21369175641589244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9.1471054359204142E-5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9.520141975315333E-3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13.610748173240962</v>
      </c>
      <c r="C14" s="22"/>
      <c r="D14" s="22">
        <f t="shared" ref="D14:M14" si="0">((D5)*10^9/3600)+D12</f>
        <v>37.44562017138901</v>
      </c>
      <c r="E14" s="22">
        <f t="shared" si="0"/>
        <v>2342.3600283510809</v>
      </c>
      <c r="F14" s="22"/>
      <c r="G14" s="22">
        <f t="shared" si="0"/>
        <v>445582.59522322268</v>
      </c>
      <c r="H14" s="22">
        <f t="shared" si="0"/>
        <v>84721.171539868345</v>
      </c>
      <c r="I14" s="22"/>
      <c r="J14" s="22"/>
      <c r="K14" s="22"/>
      <c r="L14" s="22"/>
      <c r="M14" s="22">
        <f t="shared" si="0"/>
        <v>23717.328528569946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0.20253453484573741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2.7566465501698283</v>
      </c>
      <c r="C18" s="24"/>
      <c r="D18" s="24">
        <f t="shared" ref="D18:M18" si="1">D14*D16</f>
        <v>7.56401527462058</v>
      </c>
      <c r="E18" s="24">
        <f t="shared" si="1"/>
        <v>531.71572643569539</v>
      </c>
      <c r="F18" s="24"/>
      <c r="G18" s="24">
        <f t="shared" si="1"/>
        <v>118970.55292460046</v>
      </c>
      <c r="H18" s="24">
        <f t="shared" si="1"/>
        <v>21095.571713427216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779</v>
      </c>
      <c r="D23" s="909" t="s">
        <v>780</v>
      </c>
      <c r="E23" s="909" t="s">
        <v>781</v>
      </c>
      <c r="F23" s="909" t="s">
        <v>735</v>
      </c>
      <c r="G23" s="909" t="s">
        <v>782</v>
      </c>
      <c r="H23" s="909" t="s">
        <v>783</v>
      </c>
      <c r="I23" s="909" t="s">
        <v>119</v>
      </c>
      <c r="J23" s="909" t="s">
        <v>784</v>
      </c>
      <c r="K23" s="909" t="s">
        <v>785</v>
      </c>
      <c r="L23" s="910" t="s">
        <v>786</v>
      </c>
      <c r="M23" s="130" t="s">
        <v>182</v>
      </c>
      <c r="N23" s="271" t="s">
        <v>316</v>
      </c>
    </row>
    <row r="24" spans="1:18">
      <c r="A24" s="33" t="s">
        <v>773</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789</v>
      </c>
      <c r="N24" s="892">
        <f>SUM(B24:K24)</f>
        <v>1.0000891107096537</v>
      </c>
    </row>
    <row r="25" spans="1:18">
      <c r="A25" s="33" t="s">
        <v>774</v>
      </c>
      <c r="B25" s="912" t="s">
        <v>791</v>
      </c>
      <c r="C25" s="911">
        <v>0.99938226685951392</v>
      </c>
      <c r="D25" s="912"/>
      <c r="E25" s="912"/>
      <c r="F25" s="911" t="s">
        <v>791</v>
      </c>
      <c r="G25" s="912" t="s">
        <v>791</v>
      </c>
      <c r="H25" s="912"/>
      <c r="I25" s="912" t="s">
        <v>791</v>
      </c>
      <c r="J25" s="912">
        <v>6.1773314048609224E-4</v>
      </c>
      <c r="K25" s="912" t="s">
        <v>791</v>
      </c>
      <c r="L25" s="890"/>
      <c r="M25" s="272" t="s">
        <v>789</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805</v>
      </c>
      <c r="F31" s="54"/>
      <c r="G31" s="44"/>
      <c r="H31" s="44"/>
      <c r="I31" s="44"/>
      <c r="J31" s="44"/>
      <c r="K31" s="44"/>
      <c r="L31" s="177"/>
    </row>
    <row r="32" spans="1:18">
      <c r="A32" s="280" t="s">
        <v>321</v>
      </c>
      <c r="B32" s="281"/>
      <c r="C32" s="282"/>
      <c r="D32" s="281">
        <v>3.73E-2</v>
      </c>
      <c r="E32" s="333" t="s">
        <v>805</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790</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805</v>
      </c>
      <c r="F38" s="284"/>
      <c r="G38" s="59"/>
      <c r="H38" s="59"/>
      <c r="I38" s="59"/>
      <c r="J38" s="59"/>
      <c r="K38" s="59"/>
      <c r="L38" s="286"/>
    </row>
    <row r="39" spans="1:16">
      <c r="A39" s="280" t="s">
        <v>326</v>
      </c>
      <c r="B39" s="281"/>
      <c r="C39" s="282"/>
      <c r="D39" s="281">
        <v>2.8799999999999999E-2</v>
      </c>
      <c r="E39" s="333" t="s">
        <v>805</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790</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6.5981582590538795E-2</v>
      </c>
      <c r="H50" s="323">
        <f t="shared" si="2"/>
        <v>0</v>
      </c>
      <c r="I50" s="323">
        <f t="shared" si="2"/>
        <v>0</v>
      </c>
      <c r="J50" s="323">
        <f t="shared" si="2"/>
        <v>0</v>
      </c>
      <c r="K50" s="323">
        <f t="shared" si="2"/>
        <v>0</v>
      </c>
      <c r="L50" s="323">
        <f t="shared" si="2"/>
        <v>0</v>
      </c>
      <c r="M50" s="323">
        <f t="shared" si="2"/>
        <v>2.8973601349793167E-3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6.5981582590538795E-2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2.8973601349793167E-3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18328.217386260774</v>
      </c>
      <c r="H54" s="22">
        <f t="shared" si="3"/>
        <v>0</v>
      </c>
      <c r="I54" s="22">
        <f t="shared" si="3"/>
        <v>0</v>
      </c>
      <c r="J54" s="22">
        <f t="shared" si="3"/>
        <v>0</v>
      </c>
      <c r="K54" s="22">
        <f t="shared" si="3"/>
        <v>0</v>
      </c>
      <c r="L54" s="22">
        <f t="shared" si="3"/>
        <v>0</v>
      </c>
      <c r="M54" s="22">
        <f t="shared" si="3"/>
        <v>804.82225971647676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0.20253453484573741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4893.6340421316272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579</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829</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580</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204779.101</v>
      </c>
      <c r="D10" s="688">
        <f ca="1">tertiair!C16</f>
        <v>2858.7857142857142</v>
      </c>
      <c r="E10" s="688">
        <f ca="1">tertiair!D16</f>
        <v>188138.77846742858</v>
      </c>
      <c r="F10" s="688">
        <f>tertiair!E16</f>
        <v>1575.8201407322131</v>
      </c>
      <c r="G10" s="688">
        <f ca="1">tertiair!F16</f>
        <v>40143.064318267207</v>
      </c>
      <c r="H10" s="688">
        <f>tertiair!G16</f>
        <v>0</v>
      </c>
      <c r="I10" s="688">
        <f>tertiair!H16</f>
        <v>0</v>
      </c>
      <c r="J10" s="688">
        <f>tertiair!I16</f>
        <v>0</v>
      </c>
      <c r="K10" s="688">
        <f>tertiair!J16</f>
        <v>0</v>
      </c>
      <c r="L10" s="688">
        <f>tertiair!K16</f>
        <v>0</v>
      </c>
      <c r="M10" s="688">
        <f ca="1">tertiair!L16</f>
        <v>0</v>
      </c>
      <c r="N10" s="688">
        <f>tertiair!M16</f>
        <v>0</v>
      </c>
      <c r="O10" s="688">
        <f ca="1">tertiair!N16</f>
        <v>6222.435891088453</v>
      </c>
      <c r="P10" s="688">
        <f>tertiair!O16</f>
        <v>0</v>
      </c>
      <c r="Q10" s="689">
        <f>tertiair!P16</f>
        <v>0</v>
      </c>
      <c r="R10" s="691">
        <f ca="1">SUM(C10:Q10)</f>
        <v>443717.98553180217</v>
      </c>
      <c r="S10" s="68"/>
    </row>
    <row r="11" spans="1:19" s="457" customFormat="1">
      <c r="A11" s="803" t="s">
        <v>225</v>
      </c>
      <c r="B11" s="808"/>
      <c r="C11" s="688">
        <f>huishoudens!B8</f>
        <v>137145.775463711</v>
      </c>
      <c r="D11" s="688">
        <f>huishoudens!C8</f>
        <v>0</v>
      </c>
      <c r="E11" s="688">
        <f>huishoudens!D8</f>
        <v>298839.21075800003</v>
      </c>
      <c r="F11" s="688">
        <f>huishoudens!E8</f>
        <v>11116.340244509109</v>
      </c>
      <c r="G11" s="688">
        <f>huishoudens!F8</f>
        <v>85398.687413827938</v>
      </c>
      <c r="H11" s="688">
        <f>huishoudens!G8</f>
        <v>0</v>
      </c>
      <c r="I11" s="688">
        <f>huishoudens!H8</f>
        <v>0</v>
      </c>
      <c r="J11" s="688">
        <f>huishoudens!I8</f>
        <v>0</v>
      </c>
      <c r="K11" s="688">
        <f>huishoudens!J8</f>
        <v>0</v>
      </c>
      <c r="L11" s="688">
        <f>huishoudens!K8</f>
        <v>0</v>
      </c>
      <c r="M11" s="688">
        <f>huishoudens!L8</f>
        <v>0</v>
      </c>
      <c r="N11" s="688">
        <f>huishoudens!M8</f>
        <v>0</v>
      </c>
      <c r="O11" s="688">
        <f>huishoudens!N8</f>
        <v>34783.239697720353</v>
      </c>
      <c r="P11" s="688">
        <f>huishoudens!O8</f>
        <v>364.25666666666666</v>
      </c>
      <c r="Q11" s="689">
        <f>huishoudens!P8</f>
        <v>1372.8</v>
      </c>
      <c r="R11" s="691">
        <f>SUM(C11:Q11)</f>
        <v>569020.31024443521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691</v>
      </c>
      <c r="B13" s="812" t="s">
        <v>689</v>
      </c>
      <c r="C13" s="688">
        <f>industrie!B18</f>
        <v>69428.551000000007</v>
      </c>
      <c r="D13" s="688">
        <f>industrie!C18</f>
        <v>321.42857142857144</v>
      </c>
      <c r="E13" s="688">
        <f>industrie!D18</f>
        <v>95071.363811142874</v>
      </c>
      <c r="F13" s="688">
        <f>industrie!E18</f>
        <v>839.22316727889245</v>
      </c>
      <c r="G13" s="688">
        <f>industrie!F18</f>
        <v>33804.569876145426</v>
      </c>
      <c r="H13" s="688">
        <f>industrie!G18</f>
        <v>0</v>
      </c>
      <c r="I13" s="688">
        <f>industrie!H18</f>
        <v>0</v>
      </c>
      <c r="J13" s="688">
        <f>industrie!I18</f>
        <v>0</v>
      </c>
      <c r="K13" s="688">
        <f>industrie!J18</f>
        <v>159.91296162691609</v>
      </c>
      <c r="L13" s="688">
        <f>industrie!K18</f>
        <v>0</v>
      </c>
      <c r="M13" s="688">
        <f>industrie!L18</f>
        <v>0</v>
      </c>
      <c r="N13" s="688">
        <f>industrie!M18</f>
        <v>0</v>
      </c>
      <c r="O13" s="688">
        <f>industrie!N18</f>
        <v>4341.8786544085615</v>
      </c>
      <c r="P13" s="688">
        <f>industrie!O18</f>
        <v>0</v>
      </c>
      <c r="Q13" s="689">
        <f>industrie!P18</f>
        <v>0</v>
      </c>
      <c r="R13" s="691">
        <f>SUM(C13:Q13)</f>
        <v>203966.92804203124</v>
      </c>
      <c r="S13" s="68"/>
    </row>
    <row r="14" spans="1:19" s="457" customFormat="1">
      <c r="A14" s="803"/>
      <c r="B14" s="812" t="s">
        <v>690</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912</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411353.42746371101</v>
      </c>
      <c r="D16" s="721">
        <f t="shared" ref="D16:R16" ca="1" si="0">SUM(D9:D15)</f>
        <v>3180.2142857142858</v>
      </c>
      <c r="E16" s="721">
        <f t="shared" ca="1" si="0"/>
        <v>582049.35303657153</v>
      </c>
      <c r="F16" s="721">
        <f t="shared" si="0"/>
        <v>13531.383552520214</v>
      </c>
      <c r="G16" s="721">
        <f t="shared" ca="1" si="0"/>
        <v>159346.32160824057</v>
      </c>
      <c r="H16" s="721">
        <f t="shared" si="0"/>
        <v>0</v>
      </c>
      <c r="I16" s="721">
        <f t="shared" si="0"/>
        <v>0</v>
      </c>
      <c r="J16" s="721">
        <f t="shared" si="0"/>
        <v>0</v>
      </c>
      <c r="K16" s="721">
        <f t="shared" si="0"/>
        <v>159.91296162691609</v>
      </c>
      <c r="L16" s="721">
        <f t="shared" si="0"/>
        <v>0</v>
      </c>
      <c r="M16" s="721">
        <f t="shared" ca="1" si="0"/>
        <v>0</v>
      </c>
      <c r="N16" s="721">
        <f t="shared" si="0"/>
        <v>0</v>
      </c>
      <c r="O16" s="721">
        <f t="shared" ca="1" si="0"/>
        <v>45347.554243217368</v>
      </c>
      <c r="P16" s="721">
        <f t="shared" si="0"/>
        <v>364.25666666666666</v>
      </c>
      <c r="Q16" s="721">
        <f t="shared" si="0"/>
        <v>1372.8</v>
      </c>
      <c r="R16" s="721">
        <f t="shared" ca="1" si="0"/>
        <v>1216705.2238182686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18328.217386260774</v>
      </c>
      <c r="I19" s="688">
        <f>transport!H54</f>
        <v>0</v>
      </c>
      <c r="J19" s="688">
        <f>transport!I54</f>
        <v>0</v>
      </c>
      <c r="K19" s="688">
        <f>transport!J54</f>
        <v>0</v>
      </c>
      <c r="L19" s="688">
        <f>transport!K54</f>
        <v>0</v>
      </c>
      <c r="M19" s="688">
        <f>transport!L54</f>
        <v>0</v>
      </c>
      <c r="N19" s="688">
        <f>transport!M54</f>
        <v>804.82225971647676</v>
      </c>
      <c r="O19" s="688">
        <f>transport!N54</f>
        <v>0</v>
      </c>
      <c r="P19" s="688">
        <f>transport!O54</f>
        <v>0</v>
      </c>
      <c r="Q19" s="689">
        <f>transport!P54</f>
        <v>0</v>
      </c>
      <c r="R19" s="691">
        <f>SUM(C19:Q19)</f>
        <v>19133.039645977253</v>
      </c>
      <c r="S19" s="68"/>
    </row>
    <row r="20" spans="1:19" s="457" customFormat="1">
      <c r="A20" s="803" t="s">
        <v>307</v>
      </c>
      <c r="B20" s="808"/>
      <c r="C20" s="688">
        <f>transport!B14</f>
        <v>13.610748173240962</v>
      </c>
      <c r="D20" s="688">
        <f>transport!C14</f>
        <v>0</v>
      </c>
      <c r="E20" s="688">
        <f>transport!D14</f>
        <v>37.44562017138901</v>
      </c>
      <c r="F20" s="688">
        <f>transport!E14</f>
        <v>2342.3600283510809</v>
      </c>
      <c r="G20" s="688">
        <f>transport!F14</f>
        <v>0</v>
      </c>
      <c r="H20" s="688">
        <f>transport!G14</f>
        <v>445582.59522322268</v>
      </c>
      <c r="I20" s="688">
        <f>transport!H14</f>
        <v>84721.171539868345</v>
      </c>
      <c r="J20" s="688">
        <f>transport!I14</f>
        <v>0</v>
      </c>
      <c r="K20" s="688">
        <f>transport!J14</f>
        <v>0</v>
      </c>
      <c r="L20" s="688">
        <f>transport!K14</f>
        <v>0</v>
      </c>
      <c r="M20" s="688">
        <f>transport!L14</f>
        <v>0</v>
      </c>
      <c r="N20" s="688">
        <f>transport!M14</f>
        <v>23717.328528569946</v>
      </c>
      <c r="O20" s="688">
        <f>transport!N14</f>
        <v>0</v>
      </c>
      <c r="P20" s="688">
        <f>transport!O14</f>
        <v>0</v>
      </c>
      <c r="Q20" s="689">
        <f>transport!P14</f>
        <v>0</v>
      </c>
      <c r="R20" s="691">
        <f>SUM(C20:Q20)</f>
        <v>556414.51168835664</v>
      </c>
      <c r="S20" s="68"/>
    </row>
    <row r="21" spans="1:19" s="457" customFormat="1" ht="15" thickBot="1">
      <c r="A21" s="825" t="s">
        <v>913</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13.610748173240962</v>
      </c>
      <c r="D22" s="806">
        <f t="shared" ref="D22:R22" si="1">SUM(D18:D21)</f>
        <v>0</v>
      </c>
      <c r="E22" s="806">
        <f t="shared" si="1"/>
        <v>37.44562017138901</v>
      </c>
      <c r="F22" s="806">
        <f t="shared" si="1"/>
        <v>2342.3600283510809</v>
      </c>
      <c r="G22" s="806">
        <f t="shared" si="1"/>
        <v>0</v>
      </c>
      <c r="H22" s="806">
        <f t="shared" si="1"/>
        <v>463910.81260948349</v>
      </c>
      <c r="I22" s="806">
        <f t="shared" si="1"/>
        <v>84721.171539868345</v>
      </c>
      <c r="J22" s="806">
        <f t="shared" si="1"/>
        <v>0</v>
      </c>
      <c r="K22" s="806">
        <f t="shared" si="1"/>
        <v>0</v>
      </c>
      <c r="L22" s="806">
        <f t="shared" si="1"/>
        <v>0</v>
      </c>
      <c r="M22" s="806">
        <f t="shared" si="1"/>
        <v>0</v>
      </c>
      <c r="N22" s="806">
        <f t="shared" si="1"/>
        <v>24522.150788286424</v>
      </c>
      <c r="O22" s="806">
        <f t="shared" si="1"/>
        <v>0</v>
      </c>
      <c r="P22" s="806">
        <f t="shared" si="1"/>
        <v>0</v>
      </c>
      <c r="Q22" s="806">
        <f t="shared" si="1"/>
        <v>0</v>
      </c>
      <c r="R22" s="806">
        <f t="shared" si="1"/>
        <v>575547.55133433384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680</v>
      </c>
      <c r="B24" s="808"/>
      <c r="C24" s="688">
        <f>+landbouw!B8</f>
        <v>3383.6849999999999</v>
      </c>
      <c r="D24" s="688">
        <f>+landbouw!C8</f>
        <v>0</v>
      </c>
      <c r="E24" s="688">
        <f>+landbouw!D8</f>
        <v>2317.3931440000001</v>
      </c>
      <c r="F24" s="688">
        <f>+landbouw!E8</f>
        <v>31.876579843319323</v>
      </c>
      <c r="G24" s="688">
        <f>+landbouw!F8</f>
        <v>11042.087101430681</v>
      </c>
      <c r="H24" s="688">
        <f>+landbouw!G8</f>
        <v>0</v>
      </c>
      <c r="I24" s="688">
        <f>+landbouw!H8</f>
        <v>0</v>
      </c>
      <c r="J24" s="688">
        <f>+landbouw!I8</f>
        <v>0</v>
      </c>
      <c r="K24" s="688">
        <f>+landbouw!J8</f>
        <v>418.57829274067853</v>
      </c>
      <c r="L24" s="688">
        <f>+landbouw!K8</f>
        <v>0</v>
      </c>
      <c r="M24" s="688">
        <f>+landbouw!L8</f>
        <v>0</v>
      </c>
      <c r="N24" s="688">
        <f>+landbouw!M8</f>
        <v>0</v>
      </c>
      <c r="O24" s="688">
        <f>+landbouw!N8</f>
        <v>0</v>
      </c>
      <c r="P24" s="688">
        <f>+landbouw!O8</f>
        <v>0</v>
      </c>
      <c r="Q24" s="689">
        <f>+landbouw!P8</f>
        <v>0</v>
      </c>
      <c r="R24" s="691">
        <f>SUM(C24:Q24)</f>
        <v>17193.620118014682</v>
      </c>
      <c r="S24" s="68"/>
    </row>
    <row r="25" spans="1:19" s="457" customFormat="1" ht="15" thickBot="1">
      <c r="A25" s="825" t="s">
        <v>914</v>
      </c>
      <c r="B25" s="1001"/>
      <c r="C25" s="1002">
        <f>IF(Onbekend_ele_kWh="---",0,Onbekend_ele_kWh)/1000+IF(REST_rest_ele_kWh="---",0,REST_rest_ele_kWh)/1000</f>
        <v>5435.0839999999998</v>
      </c>
      <c r="D25" s="1002"/>
      <c r="E25" s="1002">
        <f>IF(onbekend_gas_kWh="---",0,onbekend_gas_kWh)/1000+IF(REST_rest_gas_kWh="---",0,REST_rest_gas_kWh)/1000</f>
        <v>27761.11</v>
      </c>
      <c r="F25" s="1002"/>
      <c r="G25" s="1002"/>
      <c r="H25" s="1002"/>
      <c r="I25" s="1002"/>
      <c r="J25" s="1002"/>
      <c r="K25" s="1002"/>
      <c r="L25" s="1002"/>
      <c r="M25" s="1002"/>
      <c r="N25" s="1002"/>
      <c r="O25" s="1002"/>
      <c r="P25" s="1002"/>
      <c r="Q25" s="1003"/>
      <c r="R25" s="691">
        <f>SUM(C25:Q25)</f>
        <v>33196.194000000003</v>
      </c>
      <c r="S25" s="68"/>
    </row>
    <row r="26" spans="1:19" s="457" customFormat="1" ht="15.75" thickBot="1">
      <c r="A26" s="694" t="s">
        <v>915</v>
      </c>
      <c r="B26" s="811"/>
      <c r="C26" s="806">
        <f>SUM(C24:C25)</f>
        <v>8818.7690000000002</v>
      </c>
      <c r="D26" s="806">
        <f t="shared" ref="D26:R26" si="2">SUM(D24:D25)</f>
        <v>0</v>
      </c>
      <c r="E26" s="806">
        <f t="shared" si="2"/>
        <v>30078.503144000002</v>
      </c>
      <c r="F26" s="806">
        <f t="shared" si="2"/>
        <v>31.876579843319323</v>
      </c>
      <c r="G26" s="806">
        <f t="shared" si="2"/>
        <v>11042.087101430681</v>
      </c>
      <c r="H26" s="806">
        <f t="shared" si="2"/>
        <v>0</v>
      </c>
      <c r="I26" s="806">
        <f t="shared" si="2"/>
        <v>0</v>
      </c>
      <c r="J26" s="806">
        <f t="shared" si="2"/>
        <v>0</v>
      </c>
      <c r="K26" s="806">
        <f t="shared" si="2"/>
        <v>418.57829274067853</v>
      </c>
      <c r="L26" s="806">
        <f t="shared" si="2"/>
        <v>0</v>
      </c>
      <c r="M26" s="806">
        <f t="shared" si="2"/>
        <v>0</v>
      </c>
      <c r="N26" s="806">
        <f t="shared" si="2"/>
        <v>0</v>
      </c>
      <c r="O26" s="806">
        <f t="shared" si="2"/>
        <v>0</v>
      </c>
      <c r="P26" s="806">
        <f t="shared" si="2"/>
        <v>0</v>
      </c>
      <c r="Q26" s="806">
        <f t="shared" si="2"/>
        <v>0</v>
      </c>
      <c r="R26" s="806">
        <f t="shared" si="2"/>
        <v>50389.814118014685</v>
      </c>
      <c r="S26" s="68"/>
    </row>
    <row r="27" spans="1:19" s="457" customFormat="1" ht="17.25" thickTop="1" thickBot="1">
      <c r="A27" s="695" t="s">
        <v>116</v>
      </c>
      <c r="B27" s="798"/>
      <c r="C27" s="696">
        <f ca="1">C22+C16+C26</f>
        <v>420185.8072118843</v>
      </c>
      <c r="D27" s="696">
        <f t="shared" ref="D27:R27" ca="1" si="3">D22+D16+D26</f>
        <v>3180.2142857142858</v>
      </c>
      <c r="E27" s="696">
        <f t="shared" ca="1" si="3"/>
        <v>612165.30180074286</v>
      </c>
      <c r="F27" s="696">
        <f t="shared" si="3"/>
        <v>15905.620160714614</v>
      </c>
      <c r="G27" s="696">
        <f t="shared" ca="1" si="3"/>
        <v>170388.40870967126</v>
      </c>
      <c r="H27" s="696">
        <f t="shared" si="3"/>
        <v>463910.81260948349</v>
      </c>
      <c r="I27" s="696">
        <f t="shared" si="3"/>
        <v>84721.171539868345</v>
      </c>
      <c r="J27" s="696">
        <f t="shared" si="3"/>
        <v>0</v>
      </c>
      <c r="K27" s="696">
        <f t="shared" si="3"/>
        <v>578.49125436759459</v>
      </c>
      <c r="L27" s="696">
        <f t="shared" si="3"/>
        <v>0</v>
      </c>
      <c r="M27" s="696">
        <f t="shared" ca="1" si="3"/>
        <v>0</v>
      </c>
      <c r="N27" s="696">
        <f t="shared" si="3"/>
        <v>24522.150788286424</v>
      </c>
      <c r="O27" s="696">
        <f t="shared" ca="1" si="3"/>
        <v>45347.554243217368</v>
      </c>
      <c r="P27" s="696">
        <f t="shared" si="3"/>
        <v>364.25666666666666</v>
      </c>
      <c r="Q27" s="696">
        <f t="shared" si="3"/>
        <v>1372.8</v>
      </c>
      <c r="R27" s="696">
        <f t="shared" ca="1" si="3"/>
        <v>1842642.5892706171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41474.83996716328</v>
      </c>
      <c r="D40" s="688">
        <f ca="1">tertiair!C20</f>
        <v>679.38201680672285</v>
      </c>
      <c r="E40" s="688">
        <f ca="1">tertiair!D20</f>
        <v>38004.033250420573</v>
      </c>
      <c r="F40" s="688">
        <f>tertiair!E20</f>
        <v>357.7111719462124</v>
      </c>
      <c r="G40" s="688">
        <f ca="1">tertiair!F20</f>
        <v>10718.198172977345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91234.164579314136</v>
      </c>
    </row>
    <row r="41" spans="1:18">
      <c r="A41" s="816" t="s">
        <v>225</v>
      </c>
      <c r="B41" s="823"/>
      <c r="C41" s="688">
        <f ca="1">huishoudens!B12</f>
        <v>27776.755839600657</v>
      </c>
      <c r="D41" s="688">
        <f ca="1">huishoudens!C12</f>
        <v>0</v>
      </c>
      <c r="E41" s="688">
        <f>huishoudens!D12</f>
        <v>60365.520573116009</v>
      </c>
      <c r="F41" s="688">
        <f>huishoudens!E12</f>
        <v>2523.4092355035677</v>
      </c>
      <c r="G41" s="688">
        <f>huishoudens!F12</f>
        <v>22801.44953949206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113467.13518771229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692</v>
      </c>
      <c r="B43" s="831" t="s">
        <v>689</v>
      </c>
      <c r="C43" s="688">
        <f ca="1">industrie!B22</f>
        <v>14061.679281798559</v>
      </c>
      <c r="D43" s="688">
        <f ca="1">industrie!C22</f>
        <v>76.386554621848759</v>
      </c>
      <c r="E43" s="688">
        <f>industrie!D22</f>
        <v>19204.41548985086</v>
      </c>
      <c r="F43" s="688">
        <f>industrie!E22</f>
        <v>190.50365897230859</v>
      </c>
      <c r="G43" s="688">
        <f>industrie!F22</f>
        <v>9025.8201569308294</v>
      </c>
      <c r="H43" s="688">
        <f>industrie!G22</f>
        <v>0</v>
      </c>
      <c r="I43" s="688">
        <f>industrie!H22</f>
        <v>0</v>
      </c>
      <c r="J43" s="688">
        <f>industrie!I22</f>
        <v>0</v>
      </c>
      <c r="K43" s="688">
        <f>industrie!J22</f>
        <v>56.609188415928294</v>
      </c>
      <c r="L43" s="688">
        <f>industrie!K22</f>
        <v>0</v>
      </c>
      <c r="M43" s="688">
        <f>industrie!L22</f>
        <v>0</v>
      </c>
      <c r="N43" s="688">
        <f>industrie!M22</f>
        <v>0</v>
      </c>
      <c r="O43" s="688">
        <f>industrie!N22</f>
        <v>0</v>
      </c>
      <c r="P43" s="688">
        <f>industrie!O22</f>
        <v>0</v>
      </c>
      <c r="Q43" s="763">
        <f>industrie!P22</f>
        <v>0</v>
      </c>
      <c r="R43" s="843">
        <f t="shared" ca="1" si="4"/>
        <v>42615.414330590334</v>
      </c>
    </row>
    <row r="44" spans="1:18">
      <c r="A44" s="816"/>
      <c r="B44" s="823" t="s">
        <v>690</v>
      </c>
      <c r="C44" s="688"/>
      <c r="D44" s="688"/>
      <c r="E44" s="688"/>
      <c r="F44" s="688"/>
      <c r="G44" s="688"/>
      <c r="H44" s="688"/>
      <c r="I44" s="688"/>
      <c r="J44" s="688"/>
      <c r="K44" s="688"/>
      <c r="L44" s="688"/>
      <c r="M44" s="688"/>
      <c r="N44" s="688"/>
      <c r="O44" s="688"/>
      <c r="P44" s="688"/>
      <c r="Q44" s="763"/>
      <c r="R44" s="844">
        <f t="shared" si="4"/>
        <v>0</v>
      </c>
    </row>
    <row r="45" spans="1:18" ht="15" thickBot="1">
      <c r="A45" s="1000" t="s">
        <v>912</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83313.275088562499</v>
      </c>
      <c r="D46" s="721">
        <f t="shared" ref="D46:Q46" ca="1" si="5">SUM(D39:D45)</f>
        <v>755.76857142857159</v>
      </c>
      <c r="E46" s="721">
        <f t="shared" ca="1" si="5"/>
        <v>117573.96931338744</v>
      </c>
      <c r="F46" s="721">
        <f t="shared" si="5"/>
        <v>3071.6240664220886</v>
      </c>
      <c r="G46" s="721">
        <f t="shared" ca="1" si="5"/>
        <v>42545.467869400236</v>
      </c>
      <c r="H46" s="721">
        <f t="shared" si="5"/>
        <v>0</v>
      </c>
      <c r="I46" s="721">
        <f t="shared" si="5"/>
        <v>0</v>
      </c>
      <c r="J46" s="721">
        <f t="shared" si="5"/>
        <v>0</v>
      </c>
      <c r="K46" s="721">
        <f t="shared" si="5"/>
        <v>56.609188415928294</v>
      </c>
      <c r="L46" s="721">
        <f t="shared" si="5"/>
        <v>0</v>
      </c>
      <c r="M46" s="721">
        <f t="shared" ca="1" si="5"/>
        <v>0</v>
      </c>
      <c r="N46" s="721">
        <f t="shared" si="5"/>
        <v>0</v>
      </c>
      <c r="O46" s="721">
        <f t="shared" ca="1" si="5"/>
        <v>0</v>
      </c>
      <c r="P46" s="721">
        <f t="shared" si="5"/>
        <v>0</v>
      </c>
      <c r="Q46" s="721">
        <f t="shared" si="5"/>
        <v>0</v>
      </c>
      <c r="R46" s="721">
        <f ca="1">SUM(R39:R45)</f>
        <v>247316.71409761679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4893.6340421316272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4893.6340421316272</v>
      </c>
    </row>
    <row r="50" spans="1:18">
      <c r="A50" s="819" t="s">
        <v>307</v>
      </c>
      <c r="B50" s="829"/>
      <c r="C50" s="1008">
        <f ca="1">transport!B18</f>
        <v>2.7566465501698283</v>
      </c>
      <c r="D50" s="1008">
        <f>transport!C18</f>
        <v>0</v>
      </c>
      <c r="E50" s="1008">
        <f>transport!D18</f>
        <v>7.56401527462058</v>
      </c>
      <c r="F50" s="1008">
        <f>transport!E18</f>
        <v>531.71572643569539</v>
      </c>
      <c r="G50" s="1008">
        <f>transport!F18</f>
        <v>0</v>
      </c>
      <c r="H50" s="1008">
        <f>transport!G18</f>
        <v>118970.55292460046</v>
      </c>
      <c r="I50" s="1008">
        <f>transport!H18</f>
        <v>21095.571713427216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140608.16102628817</v>
      </c>
    </row>
    <row r="51" spans="1:18" ht="15" thickBot="1">
      <c r="A51" s="816" t="s">
        <v>913</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2.7566465501698283</v>
      </c>
      <c r="D52" s="721">
        <f t="shared" ref="D52:Q52" ca="1" si="6">SUM(D48:D51)</f>
        <v>0</v>
      </c>
      <c r="E52" s="721">
        <f t="shared" si="6"/>
        <v>7.56401527462058</v>
      </c>
      <c r="F52" s="721">
        <f t="shared" si="6"/>
        <v>531.71572643569539</v>
      </c>
      <c r="G52" s="721">
        <f t="shared" si="6"/>
        <v>0</v>
      </c>
      <c r="H52" s="721">
        <f t="shared" si="6"/>
        <v>123864.18696673209</v>
      </c>
      <c r="I52" s="721">
        <f t="shared" si="6"/>
        <v>21095.571713427216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145501.7950684198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680</v>
      </c>
      <c r="B54" s="829"/>
      <c r="C54" s="1008">
        <f ca="1">+landbouw!B12</f>
        <v>685.313067539499</v>
      </c>
      <c r="D54" s="1008">
        <f ca="1">+landbouw!C12</f>
        <v>0</v>
      </c>
      <c r="E54" s="1008">
        <f>+landbouw!D12</f>
        <v>468.11341508800007</v>
      </c>
      <c r="F54" s="1008">
        <f>+landbouw!E12</f>
        <v>7.2359836244334863</v>
      </c>
      <c r="G54" s="1008">
        <f>+landbouw!F12</f>
        <v>2948.2372560819922</v>
      </c>
      <c r="H54" s="1008">
        <f>+landbouw!G12</f>
        <v>0</v>
      </c>
      <c r="I54" s="1008">
        <f>+landbouw!H12</f>
        <v>0</v>
      </c>
      <c r="J54" s="1008">
        <f>+landbouw!I12</f>
        <v>0</v>
      </c>
      <c r="K54" s="1008">
        <f>+landbouw!J12</f>
        <v>148.17671563020019</v>
      </c>
      <c r="L54" s="1008">
        <f>+landbouw!K12</f>
        <v>0</v>
      </c>
      <c r="M54" s="1008">
        <f>+landbouw!L12</f>
        <v>0</v>
      </c>
      <c r="N54" s="1008">
        <f>+landbouw!M12</f>
        <v>0</v>
      </c>
      <c r="O54" s="1008">
        <f>+landbouw!N12</f>
        <v>0</v>
      </c>
      <c r="P54" s="1008">
        <f>+landbouw!O12</f>
        <v>0</v>
      </c>
      <c r="Q54" s="1009">
        <f>+landbouw!P12</f>
        <v>0</v>
      </c>
      <c r="R54" s="720">
        <f ca="1">SUM(C54:Q54)</f>
        <v>4257.076437964125</v>
      </c>
    </row>
    <row r="55" spans="1:18" ht="15" thickBot="1">
      <c r="A55" s="819" t="s">
        <v>914</v>
      </c>
      <c r="B55" s="829"/>
      <c r="C55" s="1008">
        <f ca="1">C25*'EF ele_warmte'!B12</f>
        <v>1100.7922097875098</v>
      </c>
      <c r="D55" s="1008"/>
      <c r="E55" s="1008">
        <f>E25*EF_CO2_aardgas</f>
        <v>5607.7442200000005</v>
      </c>
      <c r="F55" s="1008"/>
      <c r="G55" s="1008"/>
      <c r="H55" s="1008"/>
      <c r="I55" s="1008"/>
      <c r="J55" s="1008"/>
      <c r="K55" s="1008"/>
      <c r="L55" s="1008"/>
      <c r="M55" s="1008"/>
      <c r="N55" s="1008"/>
      <c r="O55" s="1008"/>
      <c r="P55" s="1008"/>
      <c r="Q55" s="1009"/>
      <c r="R55" s="720">
        <f ca="1">SUM(C55:Q55)</f>
        <v>6708.5364297875103</v>
      </c>
    </row>
    <row r="56" spans="1:18" ht="15.75" thickBot="1">
      <c r="A56" s="817" t="s">
        <v>915</v>
      </c>
      <c r="B56" s="830"/>
      <c r="C56" s="721">
        <f ca="1">SUM(C54:C55)</f>
        <v>1786.1052773270089</v>
      </c>
      <c r="D56" s="721">
        <f t="shared" ref="D56:Q56" ca="1" si="7">SUM(D54:D55)</f>
        <v>0</v>
      </c>
      <c r="E56" s="721">
        <f t="shared" si="7"/>
        <v>6075.8576350880003</v>
      </c>
      <c r="F56" s="721">
        <f t="shared" si="7"/>
        <v>7.2359836244334863</v>
      </c>
      <c r="G56" s="721">
        <f t="shared" si="7"/>
        <v>2948.2372560819922</v>
      </c>
      <c r="H56" s="721">
        <f t="shared" si="7"/>
        <v>0</v>
      </c>
      <c r="I56" s="721">
        <f t="shared" si="7"/>
        <v>0</v>
      </c>
      <c r="J56" s="721">
        <f t="shared" si="7"/>
        <v>0</v>
      </c>
      <c r="K56" s="721">
        <f t="shared" si="7"/>
        <v>148.17671563020019</v>
      </c>
      <c r="L56" s="721">
        <f t="shared" si="7"/>
        <v>0</v>
      </c>
      <c r="M56" s="721">
        <f t="shared" si="7"/>
        <v>0</v>
      </c>
      <c r="N56" s="721">
        <f t="shared" si="7"/>
        <v>0</v>
      </c>
      <c r="O56" s="721">
        <f t="shared" si="7"/>
        <v>0</v>
      </c>
      <c r="P56" s="721">
        <f t="shared" si="7"/>
        <v>0</v>
      </c>
      <c r="Q56" s="722">
        <f t="shared" si="7"/>
        <v>0</v>
      </c>
      <c r="R56" s="723">
        <f ca="1">SUM(R54:R55)</f>
        <v>10965.612867751635</v>
      </c>
    </row>
    <row r="57" spans="1:18" ht="15.75">
      <c r="A57" s="797" t="s">
        <v>681</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85102.137012439678</v>
      </c>
      <c r="D61" s="729">
        <f t="shared" ref="D61:Q61" ca="1" si="8">D46+D52+D56</f>
        <v>755.76857142857159</v>
      </c>
      <c r="E61" s="729">
        <f t="shared" ca="1" si="8"/>
        <v>123657.39096375006</v>
      </c>
      <c r="F61" s="729">
        <f t="shared" si="8"/>
        <v>3610.5757764822179</v>
      </c>
      <c r="G61" s="729">
        <f t="shared" ca="1" si="8"/>
        <v>45493.705125482229</v>
      </c>
      <c r="H61" s="729">
        <f t="shared" si="8"/>
        <v>123864.18696673209</v>
      </c>
      <c r="I61" s="729">
        <f t="shared" si="8"/>
        <v>21095.571713427216</v>
      </c>
      <c r="J61" s="729">
        <f t="shared" si="8"/>
        <v>0</v>
      </c>
      <c r="K61" s="729">
        <f t="shared" si="8"/>
        <v>204.78590404612848</v>
      </c>
      <c r="L61" s="729">
        <f t="shared" si="8"/>
        <v>0</v>
      </c>
      <c r="M61" s="729">
        <f t="shared" ca="1" si="8"/>
        <v>0</v>
      </c>
      <c r="N61" s="729">
        <f t="shared" si="8"/>
        <v>0</v>
      </c>
      <c r="O61" s="729">
        <f t="shared" ca="1" si="8"/>
        <v>0</v>
      </c>
      <c r="P61" s="729">
        <f t="shared" si="8"/>
        <v>0</v>
      </c>
      <c r="Q61" s="729">
        <f t="shared" si="8"/>
        <v>0</v>
      </c>
      <c r="R61" s="729">
        <f ca="1">R46+R52+R56</f>
        <v>403784.12203378824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0.20253453484573741</v>
      </c>
      <c r="D63" s="773">
        <f t="shared" ca="1" si="9"/>
        <v>0.23764705882352946</v>
      </c>
      <c r="E63" s="1010">
        <f t="shared" ca="1" si="9"/>
        <v>0.20200000000000001</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695</v>
      </c>
      <c r="Q69" s="1112" t="s">
        <v>694</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693</v>
      </c>
      <c r="C71" s="983" t="s">
        <v>916</v>
      </c>
      <c r="D71" s="1013" t="s">
        <v>199</v>
      </c>
      <c r="E71" s="1014" t="s">
        <v>200</v>
      </c>
      <c r="F71" s="978" t="s">
        <v>201</v>
      </c>
      <c r="G71" s="975" t="s">
        <v>203</v>
      </c>
      <c r="H71" s="1015" t="s">
        <v>204</v>
      </c>
      <c r="I71" s="979"/>
      <c r="J71" s="979"/>
      <c r="K71" s="979"/>
      <c r="L71" s="979"/>
      <c r="M71" s="976"/>
      <c r="N71" s="979"/>
      <c r="O71" s="984"/>
      <c r="P71" s="1016"/>
      <c r="Q71" s="986" t="s">
        <v>696</v>
      </c>
      <c r="R71" s="984" t="s">
        <v>697</v>
      </c>
    </row>
    <row r="72" spans="1:18" ht="15.75" thickTop="1">
      <c r="A72" s="739" t="s">
        <v>249</v>
      </c>
      <c r="B72" s="837">
        <f>'lokale energieproductie'!B4</f>
        <v>14237.021407305889</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19801.429865937316</v>
      </c>
      <c r="C74" s="1103"/>
      <c r="D74" s="1103"/>
      <c r="E74" s="1081"/>
      <c r="F74" s="1081"/>
      <c r="G74" s="1097"/>
      <c r="H74" s="1100"/>
      <c r="I74" s="1103"/>
      <c r="J74" s="982"/>
      <c r="K74" s="1081"/>
      <c r="L74" s="1081"/>
      <c r="M74" s="1081"/>
      <c r="N74" s="1081"/>
      <c r="O74" s="1084"/>
      <c r="P74" s="846">
        <v>0</v>
      </c>
      <c r="Q74" s="852"/>
      <c r="R74" s="846">
        <v>0</v>
      </c>
    </row>
    <row r="75" spans="1:18" ht="15.75" thickBot="1">
      <c r="A75" s="740" t="s">
        <v>911</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2226.15</v>
      </c>
      <c r="D76" s="1020">
        <f>'lokale energieproductie'!C8</f>
        <v>2619.0000000000005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529.03800000000012</v>
      </c>
      <c r="R76" s="846">
        <v>0</v>
      </c>
    </row>
    <row r="77" spans="1:18" ht="30.75" thickBot="1">
      <c r="A77" s="742" t="s">
        <v>353</v>
      </c>
      <c r="B77" s="739">
        <f>'lokale energieproductie'!B9*IFERROR(SUM(I77:O77)/SUM(D77:O77),0)</f>
        <v>1237.5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3535.7142857142858</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35275.951273243205</v>
      </c>
      <c r="C78" s="744">
        <f>SUM(C72:C77)</f>
        <v>2226.15</v>
      </c>
      <c r="D78" s="745">
        <f t="shared" ref="D78:H78" si="10">SUM(D76:D77)</f>
        <v>2619.0000000000005</v>
      </c>
      <c r="E78" s="745">
        <f t="shared" si="10"/>
        <v>0</v>
      </c>
      <c r="F78" s="745">
        <f t="shared" si="10"/>
        <v>0</v>
      </c>
      <c r="G78" s="745">
        <f t="shared" si="10"/>
        <v>0</v>
      </c>
      <c r="H78" s="745">
        <f t="shared" si="10"/>
        <v>0</v>
      </c>
      <c r="I78" s="745">
        <f>SUM(I76:I77)</f>
        <v>0</v>
      </c>
      <c r="J78" s="745">
        <f>SUM(J76:J77)</f>
        <v>3535.7142857142858</v>
      </c>
      <c r="K78" s="745">
        <f t="shared" ref="K78:L78" si="11">SUM(K76:K77)</f>
        <v>0</v>
      </c>
      <c r="L78" s="745">
        <f t="shared" si="11"/>
        <v>0</v>
      </c>
      <c r="M78" s="745">
        <f>SUM(M76:M77)</f>
        <v>0</v>
      </c>
      <c r="N78" s="745">
        <f>SUM(N76:N77)</f>
        <v>0</v>
      </c>
      <c r="O78" s="854">
        <f>SUM(O76:O77)</f>
        <v>0</v>
      </c>
      <c r="P78" s="746">
        <v>0</v>
      </c>
      <c r="Q78" s="746">
        <f>SUM(Q76:Q77)</f>
        <v>529.03800000000012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695</v>
      </c>
      <c r="Q84" s="1065" t="s">
        <v>694</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693</v>
      </c>
      <c r="C86" s="838" t="s">
        <v>916</v>
      </c>
      <c r="D86" s="986" t="s">
        <v>199</v>
      </c>
      <c r="E86" s="979" t="s">
        <v>200</v>
      </c>
      <c r="F86" s="977" t="s">
        <v>201</v>
      </c>
      <c r="G86" s="979" t="s">
        <v>203</v>
      </c>
      <c r="H86" s="753" t="s">
        <v>204</v>
      </c>
      <c r="I86" s="1071"/>
      <c r="J86" s="1073"/>
      <c r="K86" s="1075"/>
      <c r="L86" s="1075"/>
      <c r="M86" s="1077"/>
      <c r="N86" s="1075"/>
      <c r="O86" s="1079"/>
      <c r="P86" s="1016"/>
      <c r="Q86" s="986" t="s">
        <v>696</v>
      </c>
      <c r="R86" s="984" t="s">
        <v>697</v>
      </c>
    </row>
    <row r="87" spans="1:19" ht="15.75" thickTop="1">
      <c r="A87" s="754" t="s">
        <v>252</v>
      </c>
      <c r="B87" s="755">
        <f>'lokale energieproductie'!B17*IFERROR(SUM(I87:O87)/SUM(D87:O87),0)</f>
        <v>0</v>
      </c>
      <c r="C87" s="755">
        <f>'lokale energieproductie'!B17*IFERROR(SUM(D87:H87)/SUM(D87:O87),0)</f>
        <v>3180.2142857142858</v>
      </c>
      <c r="D87" s="766">
        <f>'lokale energieproductie'!C17</f>
        <v>3741.428571428572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755.76857142857159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3180.2142857142858</v>
      </c>
      <c r="D90" s="744">
        <f t="shared" ref="D90:H90" si="12">SUM(D87:D89)</f>
        <v>3741.428571428572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755.76857142857159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909</v>
      </c>
      <c r="N2" s="1243" t="s">
        <v>910</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14237.021407305889</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19801.429865937316</v>
      </c>
      <c r="C6" s="1250"/>
      <c r="D6" s="1253"/>
      <c r="E6" s="1253"/>
      <c r="F6" s="1256"/>
      <c r="G6" s="1259"/>
      <c r="H6" s="1262"/>
      <c r="I6" s="1253"/>
      <c r="J6" s="1253"/>
      <c r="K6" s="1253"/>
      <c r="L6" s="1253"/>
      <c r="M6" s="1253"/>
      <c r="N6" s="989"/>
      <c r="O6" s="555"/>
      <c r="P6" s="1245"/>
      <c r="Q6" s="1246"/>
      <c r="S6" s="1028"/>
      <c r="T6" s="1220"/>
      <c r="U6" s="1220"/>
    </row>
    <row r="7" spans="1:21" s="546" customFormat="1">
      <c r="A7" s="554" t="s">
        <v>911</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2226.15</v>
      </c>
      <c r="C8" s="558">
        <f>B101</f>
        <v>2619.0000000000005</v>
      </c>
      <c r="D8" s="991"/>
      <c r="E8" s="991">
        <f>E101</f>
        <v>0</v>
      </c>
      <c r="F8" s="992"/>
      <c r="G8" s="559"/>
      <c r="H8" s="991">
        <f>I101</f>
        <v>0</v>
      </c>
      <c r="I8" s="991">
        <f>G101+F101</f>
        <v>0</v>
      </c>
      <c r="J8" s="991">
        <f>H101+D101+C101</f>
        <v>0</v>
      </c>
      <c r="K8" s="991"/>
      <c r="L8" s="991"/>
      <c r="M8" s="991"/>
      <c r="N8" s="560"/>
      <c r="O8" s="561">
        <f>C8*$C$12+D8*$D$12+E8*$E$12+F8*$F$12+G8*$G$12+H8*$H$12+I8*$I$12+J8*$J$12</f>
        <v>529.03800000000012</v>
      </c>
      <c r="P8" s="1245"/>
      <c r="Q8" s="1246"/>
      <c r="S8" s="1028"/>
      <c r="T8" s="1220"/>
      <c r="U8" s="1220"/>
    </row>
    <row r="9" spans="1:21" s="546" customFormat="1" ht="17.45" customHeight="1" thickBot="1">
      <c r="A9" s="562" t="s">
        <v>248</v>
      </c>
      <c r="B9" s="993">
        <f>N89+'Eigen informatie GS &amp; warmtenet'!B12</f>
        <v>1237.5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37502.101273243206</v>
      </c>
      <c r="C10" s="570">
        <f t="shared" ref="C10:L10" si="0">SUM(C8:C9)</f>
        <v>2619.0000000000005</v>
      </c>
      <c r="D10" s="570">
        <f t="shared" si="0"/>
        <v>0</v>
      </c>
      <c r="E10" s="570">
        <f t="shared" si="0"/>
        <v>0</v>
      </c>
      <c r="F10" s="570">
        <f t="shared" si="0"/>
        <v>0</v>
      </c>
      <c r="G10" s="570">
        <f t="shared" si="0"/>
        <v>0</v>
      </c>
      <c r="H10" s="570">
        <f t="shared" si="0"/>
        <v>0</v>
      </c>
      <c r="I10" s="570">
        <f t="shared" si="0"/>
        <v>0</v>
      </c>
      <c r="J10" s="570">
        <f t="shared" si="0"/>
        <v>3535.7142857142858</v>
      </c>
      <c r="K10" s="570">
        <f t="shared" si="0"/>
        <v>0</v>
      </c>
      <c r="L10" s="570">
        <f t="shared" si="0"/>
        <v>0</v>
      </c>
      <c r="M10" s="995"/>
      <c r="N10" s="995"/>
      <c r="O10" s="571">
        <f>SUM(O4:O9)</f>
        <v>529.03800000000012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909</v>
      </c>
      <c r="N15" s="1243" t="s">
        <v>910</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3180.2142857142858</v>
      </c>
      <c r="C17" s="582">
        <f>B102</f>
        <v>3741.428571428572</v>
      </c>
      <c r="D17" s="583"/>
      <c r="E17" s="583">
        <f>E102</f>
        <v>0</v>
      </c>
      <c r="F17" s="584"/>
      <c r="G17" s="585"/>
      <c r="H17" s="582">
        <f>I102</f>
        <v>0</v>
      </c>
      <c r="I17" s="583">
        <f>G102+F102</f>
        <v>0</v>
      </c>
      <c r="J17" s="583">
        <f>H102+D102+C102</f>
        <v>0</v>
      </c>
      <c r="K17" s="583"/>
      <c r="L17" s="583"/>
      <c r="M17" s="583"/>
      <c r="N17" s="998"/>
      <c r="O17" s="586">
        <f>C17*$C$22+E17*$E$22+H17*$H$22+I17*$I$22+J17*$J$22+D17*$D$22+F17*$F$22+G17*$G$22+K17*$K$22+L17*$L$22</f>
        <v>755.76857142857159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3180.2142857142858</v>
      </c>
      <c r="C20" s="569">
        <f>SUM(C17:C19)</f>
        <v>3741.428571428572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755.76857142857159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71022</v>
      </c>
      <c r="C28" s="789">
        <v>3500</v>
      </c>
      <c r="D28" s="642" t="s">
        <v>948</v>
      </c>
      <c r="E28" s="641" t="s">
        <v>949</v>
      </c>
      <c r="F28" s="641" t="s">
        <v>950</v>
      </c>
      <c r="G28" s="641" t="s">
        <v>951</v>
      </c>
      <c r="H28" s="641" t="s">
        <v>952</v>
      </c>
      <c r="I28" s="641" t="s">
        <v>949</v>
      </c>
      <c r="J28" s="788">
        <v>39310</v>
      </c>
      <c r="K28" s="788">
        <v>39508</v>
      </c>
      <c r="L28" s="641" t="s">
        <v>953</v>
      </c>
      <c r="M28" s="641">
        <v>4.7</v>
      </c>
      <c r="N28" s="641">
        <v>21.150000000000002</v>
      </c>
      <c r="O28" s="641">
        <v>30.214285714285719</v>
      </c>
      <c r="P28" s="641">
        <v>60.428571428571438</v>
      </c>
      <c r="Q28" s="641">
        <v>0</v>
      </c>
      <c r="R28" s="641">
        <v>0</v>
      </c>
      <c r="S28" s="641">
        <v>0</v>
      </c>
      <c r="T28" s="641">
        <v>0</v>
      </c>
      <c r="U28" s="641">
        <v>0</v>
      </c>
      <c r="V28" s="641">
        <v>0</v>
      </c>
      <c r="W28" s="641"/>
      <c r="X28" s="641">
        <v>1600</v>
      </c>
      <c r="Y28" s="641" t="s">
        <v>50</v>
      </c>
      <c r="Z28" s="643" t="s">
        <v>156</v>
      </c>
    </row>
    <row r="29" spans="1:26" s="595" customFormat="1" ht="51">
      <c r="A29" s="594"/>
      <c r="B29" s="789">
        <v>71022</v>
      </c>
      <c r="C29" s="789">
        <v>3500</v>
      </c>
      <c r="D29" s="642" t="s">
        <v>954</v>
      </c>
      <c r="E29" s="641" t="s">
        <v>955</v>
      </c>
      <c r="F29" s="641" t="s">
        <v>956</v>
      </c>
      <c r="G29" s="641" t="s">
        <v>951</v>
      </c>
      <c r="H29" s="641" t="s">
        <v>952</v>
      </c>
      <c r="I29" s="641" t="s">
        <v>955</v>
      </c>
      <c r="J29" s="788">
        <v>39365</v>
      </c>
      <c r="K29" s="788">
        <v>39471</v>
      </c>
      <c r="L29" s="641" t="s">
        <v>953</v>
      </c>
      <c r="M29" s="641">
        <v>220</v>
      </c>
      <c r="N29" s="641">
        <v>990</v>
      </c>
      <c r="O29" s="641">
        <v>1414.2857142857142</v>
      </c>
      <c r="P29" s="641">
        <v>2828.5714285714289</v>
      </c>
      <c r="Q29" s="641">
        <v>0</v>
      </c>
      <c r="R29" s="641">
        <v>0</v>
      </c>
      <c r="S29" s="641">
        <v>0</v>
      </c>
      <c r="T29" s="641">
        <v>0</v>
      </c>
      <c r="U29" s="641">
        <v>0</v>
      </c>
      <c r="V29" s="641">
        <v>0</v>
      </c>
      <c r="W29" s="641"/>
      <c r="X29" s="641">
        <v>1500</v>
      </c>
      <c r="Y29" s="641" t="s">
        <v>51</v>
      </c>
      <c r="Z29" s="643" t="s">
        <v>156</v>
      </c>
    </row>
    <row r="30" spans="1:26" s="595" customFormat="1" ht="38.25">
      <c r="A30" s="594"/>
      <c r="B30" s="789">
        <v>71022</v>
      </c>
      <c r="C30" s="789">
        <v>3511</v>
      </c>
      <c r="D30" s="642" t="s">
        <v>957</v>
      </c>
      <c r="E30" s="641" t="s">
        <v>958</v>
      </c>
      <c r="F30" s="641" t="s">
        <v>959</v>
      </c>
      <c r="G30" s="641" t="s">
        <v>951</v>
      </c>
      <c r="H30" s="641" t="s">
        <v>952</v>
      </c>
      <c r="I30" s="641" t="s">
        <v>958</v>
      </c>
      <c r="J30" s="788">
        <v>40424</v>
      </c>
      <c r="K30" s="788">
        <v>40725</v>
      </c>
      <c r="L30" s="641" t="s">
        <v>953</v>
      </c>
      <c r="M30" s="641">
        <v>50</v>
      </c>
      <c r="N30" s="641">
        <v>225</v>
      </c>
      <c r="O30" s="641">
        <v>321.42857142857144</v>
      </c>
      <c r="P30" s="641">
        <v>642.85714285714289</v>
      </c>
      <c r="Q30" s="641">
        <v>0</v>
      </c>
      <c r="R30" s="641">
        <v>0</v>
      </c>
      <c r="S30" s="641">
        <v>0</v>
      </c>
      <c r="T30" s="641">
        <v>0</v>
      </c>
      <c r="U30" s="641">
        <v>0</v>
      </c>
      <c r="V30" s="641">
        <v>0</v>
      </c>
      <c r="W30" s="641"/>
      <c r="X30" s="641">
        <v>800</v>
      </c>
      <c r="Y30" s="641" t="s">
        <v>36</v>
      </c>
      <c r="Z30" s="643" t="s">
        <v>391</v>
      </c>
    </row>
    <row r="31" spans="1:26" s="595" customFormat="1" ht="51">
      <c r="A31" s="594"/>
      <c r="B31" s="789">
        <v>71022</v>
      </c>
      <c r="C31" s="789">
        <v>3500</v>
      </c>
      <c r="D31" s="642" t="s">
        <v>960</v>
      </c>
      <c r="E31" s="641" t="s">
        <v>961</v>
      </c>
      <c r="F31" s="641" t="s">
        <v>962</v>
      </c>
      <c r="G31" s="641" t="s">
        <v>951</v>
      </c>
      <c r="H31" s="641" t="s">
        <v>952</v>
      </c>
      <c r="I31" s="641" t="s">
        <v>961</v>
      </c>
      <c r="J31" s="788">
        <v>40904</v>
      </c>
      <c r="K31" s="788">
        <v>40904</v>
      </c>
      <c r="L31" s="641" t="s">
        <v>953</v>
      </c>
      <c r="M31" s="641">
        <v>220</v>
      </c>
      <c r="N31" s="641">
        <v>990</v>
      </c>
      <c r="O31" s="641">
        <v>1414.2857142857142</v>
      </c>
      <c r="P31" s="641">
        <v>2828.5714285714289</v>
      </c>
      <c r="Q31" s="641">
        <v>0</v>
      </c>
      <c r="R31" s="641">
        <v>0</v>
      </c>
      <c r="S31" s="641">
        <v>0</v>
      </c>
      <c r="T31" s="641">
        <v>0</v>
      </c>
      <c r="U31" s="641">
        <v>0</v>
      </c>
      <c r="V31" s="641">
        <v>0</v>
      </c>
      <c r="W31" s="641"/>
      <c r="X31" s="641">
        <v>1500</v>
      </c>
      <c r="Y31" s="641" t="s">
        <v>51</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494.7</v>
      </c>
      <c r="N58" s="599">
        <f>SUM(N28:N57)</f>
        <v>2226.15</v>
      </c>
      <c r="O58" s="599">
        <f t="shared" ref="O58:W58" si="2">SUM(O28:O57)</f>
        <v>3180.2142857142858</v>
      </c>
      <c r="P58" s="599">
        <f t="shared" si="2"/>
        <v>6360.4285714285725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50</v>
      </c>
      <c r="N59" s="599">
        <f t="shared" si="3"/>
        <v>225</v>
      </c>
      <c r="O59" s="599">
        <f t="shared" si="3"/>
        <v>321.42857142857144</v>
      </c>
      <c r="P59" s="599">
        <f t="shared" si="3"/>
        <v>642.85714285714289</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444.7</v>
      </c>
      <c r="N60" s="599">
        <f ca="1">SUMIF($Z$28:AD57,"tertiair",N28:N57)</f>
        <v>2001.15</v>
      </c>
      <c r="O60" s="599">
        <f ca="1">SUMIF($Z$28:AE57,"tertiair",O28:O57)</f>
        <v>2858.7857142857142</v>
      </c>
      <c r="P60" s="599">
        <f ca="1">SUMIF($Z$28:AF57,"tertiair",P28:P57)</f>
        <v>5717.5714285714294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71022</v>
      </c>
      <c r="C64" s="789">
        <v>3511</v>
      </c>
      <c r="D64" s="644" t="s">
        <v>963</v>
      </c>
      <c r="E64" s="644" t="s">
        <v>964</v>
      </c>
      <c r="F64" s="644" t="s">
        <v>965</v>
      </c>
      <c r="G64" s="644" t="s">
        <v>966</v>
      </c>
      <c r="H64" s="644" t="s">
        <v>967</v>
      </c>
      <c r="I64" s="644" t="s">
        <v>968</v>
      </c>
      <c r="J64" s="788">
        <v>32143</v>
      </c>
      <c r="K64" s="788">
        <v>37316</v>
      </c>
      <c r="L64" s="644" t="s">
        <v>953</v>
      </c>
      <c r="M64" s="644">
        <v>275</v>
      </c>
      <c r="N64" s="644">
        <v>1237.5</v>
      </c>
      <c r="O64" s="644">
        <v>0</v>
      </c>
      <c r="P64" s="644">
        <v>0</v>
      </c>
      <c r="Q64" s="644">
        <v>3535.7142857142858</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275</v>
      </c>
      <c r="N89" s="599">
        <f t="shared" ref="N89:W89" si="5">SUM(N64:N88)</f>
        <v>1237.5</v>
      </c>
      <c r="O89" s="599">
        <f t="shared" si="5"/>
        <v>0</v>
      </c>
      <c r="P89" s="599">
        <f t="shared" si="5"/>
        <v>0</v>
      </c>
      <c r="Q89" s="599">
        <f t="shared" si="5"/>
        <v>3535.7142857142858</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275</v>
      </c>
      <c r="N91" s="599">
        <f t="shared" si="7"/>
        <v>1237.5</v>
      </c>
      <c r="O91" s="599">
        <f t="shared" si="7"/>
        <v>0</v>
      </c>
      <c r="P91" s="599">
        <f t="shared" si="7"/>
        <v>0</v>
      </c>
      <c r="Q91" s="599">
        <f t="shared" si="7"/>
        <v>3535.7142857142858</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2619.0000000000005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3741.428571428572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796</v>
      </c>
      <c r="B2" s="918" t="s">
        <v>797</v>
      </c>
      <c r="C2" s="917" t="s">
        <v>193</v>
      </c>
      <c r="D2" s="917" t="s">
        <v>798</v>
      </c>
      <c r="E2" s="919"/>
      <c r="F2" s="920" t="s">
        <v>799</v>
      </c>
      <c r="G2" s="920" t="s">
        <v>800</v>
      </c>
      <c r="H2" s="920" t="s">
        <v>801</v>
      </c>
    </row>
    <row r="3" spans="1:8" s="12" customFormat="1">
      <c r="A3" s="917" t="s">
        <v>805</v>
      </c>
      <c r="B3" s="921" t="s">
        <v>825</v>
      </c>
      <c r="C3" s="917" t="s">
        <v>193</v>
      </c>
      <c r="D3" s="917" t="s">
        <v>826</v>
      </c>
      <c r="E3" s="919"/>
      <c r="F3" s="923" t="s">
        <v>806</v>
      </c>
      <c r="G3" s="923" t="s">
        <v>807</v>
      </c>
      <c r="H3" s="354" t="s">
        <v>808</v>
      </c>
    </row>
    <row r="4" spans="1:8" s="12" customFormat="1">
      <c r="A4" s="917" t="s">
        <v>790</v>
      </c>
      <c r="B4" s="921" t="s">
        <v>797</v>
      </c>
      <c r="C4" s="917" t="s">
        <v>193</v>
      </c>
      <c r="D4" s="922" t="s">
        <v>809</v>
      </c>
      <c r="E4" s="919"/>
      <c r="F4" s="920" t="s">
        <v>799</v>
      </c>
      <c r="G4" s="920" t="s">
        <v>800</v>
      </c>
      <c r="H4" s="920" t="s">
        <v>801</v>
      </c>
    </row>
    <row r="5" spans="1:8" s="890" customFormat="1">
      <c r="A5" s="917" t="s">
        <v>417</v>
      </c>
      <c r="B5" s="928">
        <v>2013</v>
      </c>
      <c r="C5" s="917" t="s">
        <v>417</v>
      </c>
      <c r="D5" s="917" t="s">
        <v>824</v>
      </c>
      <c r="E5" s="919"/>
      <c r="F5" s="920" t="s">
        <v>802</v>
      </c>
      <c r="G5" s="920" t="s">
        <v>803</v>
      </c>
      <c r="H5" s="920" t="s">
        <v>804</v>
      </c>
    </row>
    <row r="6" spans="1:8">
      <c r="A6" s="350" t="s">
        <v>405</v>
      </c>
      <c r="B6" s="351" t="s">
        <v>674</v>
      </c>
      <c r="C6" s="350" t="s">
        <v>405</v>
      </c>
      <c r="D6" s="350" t="s">
        <v>675</v>
      </c>
      <c r="E6" s="352"/>
      <c r="F6" s="353" t="s">
        <v>407</v>
      </c>
      <c r="G6" s="353" t="s">
        <v>408</v>
      </c>
      <c r="H6" s="354" t="s">
        <v>409</v>
      </c>
    </row>
    <row r="7" spans="1:8">
      <c r="A7" s="350" t="s">
        <v>410</v>
      </c>
      <c r="B7" s="351" t="s">
        <v>677</v>
      </c>
      <c r="C7" s="350" t="s">
        <v>410</v>
      </c>
      <c r="D7" s="350" t="s">
        <v>676</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810</v>
      </c>
      <c r="B9" s="793">
        <v>2012</v>
      </c>
      <c r="C9" s="355" t="s">
        <v>417</v>
      </c>
      <c r="D9" s="355" t="s">
        <v>811</v>
      </c>
      <c r="E9" s="924" t="s">
        <v>812</v>
      </c>
      <c r="F9" s="353"/>
      <c r="G9" s="353"/>
      <c r="H9" s="354"/>
    </row>
    <row r="10" spans="1:8" s="12" customFormat="1">
      <c r="A10" s="917" t="s">
        <v>843</v>
      </c>
      <c r="B10" s="921" t="s">
        <v>846</v>
      </c>
      <c r="C10" s="917" t="s">
        <v>845</v>
      </c>
      <c r="D10" s="917" t="s">
        <v>844</v>
      </c>
      <c r="E10" s="919" t="s">
        <v>842</v>
      </c>
      <c r="F10" s="923"/>
      <c r="G10" s="923"/>
      <c r="H10" s="354"/>
    </row>
    <row r="11" spans="1:8">
      <c r="A11" s="355" t="s">
        <v>648</v>
      </c>
      <c r="B11" s="351" t="s">
        <v>649</v>
      </c>
      <c r="C11" s="355" t="s">
        <v>653</v>
      </c>
      <c r="D11" s="355" t="s">
        <v>654</v>
      </c>
      <c r="E11" s="352"/>
      <c r="F11" s="353" t="s">
        <v>650</v>
      </c>
      <c r="G11" s="353" t="s">
        <v>651</v>
      </c>
      <c r="H11" s="354" t="s">
        <v>652</v>
      </c>
    </row>
    <row r="12" spans="1:8" s="890" customFormat="1">
      <c r="A12" s="917" t="s">
        <v>827</v>
      </c>
      <c r="B12" s="928">
        <v>2017</v>
      </c>
      <c r="C12" s="917" t="s">
        <v>436</v>
      </c>
      <c r="D12" s="917" t="s">
        <v>828</v>
      </c>
      <c r="E12" s="924"/>
      <c r="F12" s="923" t="s">
        <v>806</v>
      </c>
      <c r="G12" s="923" t="s">
        <v>807</v>
      </c>
      <c r="H12" s="354" t="s">
        <v>808</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859</v>
      </c>
      <c r="G15" s="353" t="s">
        <v>860</v>
      </c>
      <c r="H15" s="354" t="s">
        <v>861</v>
      </c>
    </row>
    <row r="16" spans="1:8" s="890" customFormat="1">
      <c r="A16" s="926" t="s">
        <v>817</v>
      </c>
      <c r="B16" s="927" t="s">
        <v>818</v>
      </c>
      <c r="C16" s="926" t="s">
        <v>819</v>
      </c>
      <c r="D16" s="926" t="s">
        <v>820</v>
      </c>
      <c r="E16" s="687"/>
      <c r="F16" s="923" t="s">
        <v>821</v>
      </c>
      <c r="G16" s="923" t="s">
        <v>822</v>
      </c>
      <c r="H16" s="354" t="s">
        <v>823</v>
      </c>
    </row>
    <row r="17" spans="1:9">
      <c r="A17" s="350" t="s">
        <v>524</v>
      </c>
      <c r="B17" s="351" t="s">
        <v>382</v>
      </c>
      <c r="C17" s="350" t="s">
        <v>380</v>
      </c>
      <c r="D17" s="359" t="s">
        <v>381</v>
      </c>
      <c r="E17" s="352" t="s">
        <v>383</v>
      </c>
      <c r="F17" s="925" t="s">
        <v>813</v>
      </c>
      <c r="G17" s="925" t="s">
        <v>814</v>
      </c>
      <c r="H17" s="354" t="s">
        <v>815</v>
      </c>
      <c r="I17" s="890"/>
    </row>
    <row r="18" spans="1:9" s="890" customFormat="1">
      <c r="A18" s="350" t="s">
        <v>524</v>
      </c>
      <c r="B18" s="351" t="s">
        <v>851</v>
      </c>
      <c r="C18" s="350" t="s">
        <v>855</v>
      </c>
      <c r="D18" s="359" t="s">
        <v>856</v>
      </c>
      <c r="E18" s="352"/>
      <c r="F18" s="925" t="s">
        <v>813</v>
      </c>
      <c r="G18" s="925" t="s">
        <v>814</v>
      </c>
      <c r="H18" s="354" t="s">
        <v>815</v>
      </c>
    </row>
    <row r="19" spans="1:9">
      <c r="A19" s="355" t="s">
        <v>523</v>
      </c>
      <c r="B19" s="358" t="s">
        <v>406</v>
      </c>
      <c r="C19" s="355" t="s">
        <v>436</v>
      </c>
      <c r="D19" s="355" t="s">
        <v>378</v>
      </c>
      <c r="E19" s="352"/>
      <c r="F19" s="920" t="s">
        <v>813</v>
      </c>
      <c r="G19" s="925" t="s">
        <v>814</v>
      </c>
      <c r="H19" s="354" t="s">
        <v>815</v>
      </c>
      <c r="I19" s="890"/>
    </row>
    <row r="20" spans="1:9">
      <c r="A20" s="355" t="s">
        <v>523</v>
      </c>
      <c r="B20" s="855" t="s">
        <v>674</v>
      </c>
      <c r="C20" s="355" t="s">
        <v>436</v>
      </c>
      <c r="D20" s="355" t="s">
        <v>708</v>
      </c>
      <c r="E20" s="352"/>
      <c r="F20" s="920" t="s">
        <v>813</v>
      </c>
      <c r="G20" s="925" t="s">
        <v>816</v>
      </c>
      <c r="H20" s="354" t="s">
        <v>815</v>
      </c>
    </row>
    <row r="21" spans="1:9" s="11" customFormat="1">
      <c r="A21" s="355" t="s">
        <v>522</v>
      </c>
      <c r="B21" s="358" t="s">
        <v>521</v>
      </c>
      <c r="C21" s="355" t="s">
        <v>520</v>
      </c>
      <c r="D21" s="355" t="s">
        <v>519</v>
      </c>
      <c r="E21" s="348"/>
      <c r="F21" s="349"/>
      <c r="G21" s="349"/>
      <c r="H21" s="356"/>
    </row>
    <row r="22" spans="1:9">
      <c r="A22" s="355" t="s">
        <v>193</v>
      </c>
      <c r="B22" s="793" t="s">
        <v>751</v>
      </c>
      <c r="C22" s="355" t="s">
        <v>437</v>
      </c>
      <c r="D22" s="355" t="s">
        <v>438</v>
      </c>
      <c r="E22" s="352"/>
      <c r="F22" s="353" t="s">
        <v>439</v>
      </c>
      <c r="G22" s="353" t="s">
        <v>440</v>
      </c>
      <c r="H22" s="354" t="s">
        <v>441</v>
      </c>
    </row>
    <row r="23" spans="1:9">
      <c r="A23" s="355" t="s">
        <v>418</v>
      </c>
      <c r="B23" s="351" t="s">
        <v>851</v>
      </c>
      <c r="C23" s="355" t="s">
        <v>418</v>
      </c>
      <c r="D23" s="355" t="s">
        <v>852</v>
      </c>
      <c r="E23" s="352" t="s">
        <v>433</v>
      </c>
      <c r="F23" s="353" t="s">
        <v>862</v>
      </c>
      <c r="G23" s="353" t="s">
        <v>863</v>
      </c>
      <c r="H23" s="354" t="s">
        <v>864</v>
      </c>
    </row>
    <row r="24" spans="1:9" s="890" customFormat="1">
      <c r="A24" s="355" t="s">
        <v>418</v>
      </c>
      <c r="B24" s="351" t="s">
        <v>853</v>
      </c>
      <c r="C24" s="355" t="s">
        <v>418</v>
      </c>
      <c r="D24" s="355" t="s">
        <v>854</v>
      </c>
      <c r="E24" s="352"/>
      <c r="F24" s="353" t="s">
        <v>865</v>
      </c>
      <c r="G24" s="353" t="s">
        <v>866</v>
      </c>
      <c r="H24" s="354" t="s">
        <v>867</v>
      </c>
    </row>
    <row r="25" spans="1:9">
      <c r="A25" s="350" t="s">
        <v>416</v>
      </c>
      <c r="B25" s="351" t="s">
        <v>678</v>
      </c>
      <c r="C25" s="350" t="s">
        <v>416</v>
      </c>
      <c r="D25" s="359" t="s">
        <v>679</v>
      </c>
      <c r="E25" s="352" t="s">
        <v>433</v>
      </c>
      <c r="F25" s="353" t="s">
        <v>868</v>
      </c>
      <c r="G25" s="353" t="s">
        <v>869</v>
      </c>
      <c r="H25" s="354" t="s">
        <v>870</v>
      </c>
    </row>
    <row r="26" spans="1:9" s="890" customFormat="1">
      <c r="A26" s="355" t="s">
        <v>416</v>
      </c>
      <c r="B26" s="351" t="s">
        <v>678</v>
      </c>
      <c r="C26" s="355" t="s">
        <v>416</v>
      </c>
      <c r="D26" s="355" t="s">
        <v>857</v>
      </c>
      <c r="E26" s="352" t="s">
        <v>858</v>
      </c>
      <c r="F26" s="353" t="s">
        <v>868</v>
      </c>
      <c r="G26" s="353" t="s">
        <v>869</v>
      </c>
      <c r="H26" s="354" t="s">
        <v>870</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637</v>
      </c>
      <c r="B1" s="770" t="s">
        <v>638</v>
      </c>
      <c r="C1" s="770" t="s">
        <v>640</v>
      </c>
      <c r="D1" s="770" t="s">
        <v>639</v>
      </c>
    </row>
    <row r="2" spans="1:4">
      <c r="A2" t="s">
        <v>657</v>
      </c>
      <c r="B2" s="768">
        <v>41877</v>
      </c>
      <c r="C2" t="s">
        <v>662</v>
      </c>
      <c r="D2" s="783" t="s">
        <v>658</v>
      </c>
    </row>
    <row r="3" spans="1:4">
      <c r="A3" t="s">
        <v>657</v>
      </c>
      <c r="B3" s="768">
        <v>41877</v>
      </c>
      <c r="C3" t="s">
        <v>660</v>
      </c>
      <c r="D3" s="769" t="s">
        <v>659</v>
      </c>
    </row>
    <row r="4" spans="1:4">
      <c r="A4" t="s">
        <v>657</v>
      </c>
      <c r="B4" s="768">
        <v>41877</v>
      </c>
      <c r="C4" t="s">
        <v>661</v>
      </c>
      <c r="D4" s="783" t="s">
        <v>663</v>
      </c>
    </row>
    <row r="5" spans="1:4">
      <c r="A5" t="s">
        <v>657</v>
      </c>
      <c r="B5" s="768">
        <v>41877</v>
      </c>
      <c r="C5" t="s">
        <v>664</v>
      </c>
      <c r="D5" s="769" t="s">
        <v>665</v>
      </c>
    </row>
    <row r="6" spans="1:4">
      <c r="A6" t="s">
        <v>657</v>
      </c>
      <c r="B6" s="768">
        <v>41883</v>
      </c>
      <c r="C6" t="s">
        <v>682</v>
      </c>
      <c r="D6" s="769" t="s">
        <v>683</v>
      </c>
    </row>
    <row r="7" spans="1:4">
      <c r="A7" t="s">
        <v>657</v>
      </c>
      <c r="B7" s="768">
        <v>41885</v>
      </c>
      <c r="C7" t="s">
        <v>699</v>
      </c>
      <c r="D7" s="769" t="s">
        <v>698</v>
      </c>
    </row>
    <row r="8" spans="1:4">
      <c r="A8" t="s">
        <v>657</v>
      </c>
      <c r="B8" s="768">
        <v>41885</v>
      </c>
      <c r="C8" t="s">
        <v>699</v>
      </c>
      <c r="D8" s="769" t="s">
        <v>700</v>
      </c>
    </row>
    <row r="9" spans="1:4">
      <c r="A9" t="s">
        <v>657</v>
      </c>
      <c r="B9" s="768">
        <v>41892</v>
      </c>
      <c r="C9" t="s">
        <v>701</v>
      </c>
      <c r="D9" s="769" t="s">
        <v>702</v>
      </c>
    </row>
    <row r="10" spans="1:4">
      <c r="A10" t="s">
        <v>657</v>
      </c>
      <c r="B10" s="768">
        <v>41892</v>
      </c>
      <c r="C10" t="s">
        <v>703</v>
      </c>
      <c r="D10" s="769" t="s">
        <v>704</v>
      </c>
    </row>
    <row r="11" spans="1:4">
      <c r="A11" t="s">
        <v>657</v>
      </c>
      <c r="B11" s="768">
        <v>41892</v>
      </c>
      <c r="C11" t="s">
        <v>714</v>
      </c>
      <c r="D11" s="769" t="s">
        <v>713</v>
      </c>
    </row>
    <row r="12" spans="1:4">
      <c r="A12" t="s">
        <v>657</v>
      </c>
      <c r="B12" s="883">
        <v>41914</v>
      </c>
      <c r="C12" s="885" t="s">
        <v>721</v>
      </c>
      <c r="D12" s="884" t="s">
        <v>715</v>
      </c>
    </row>
    <row r="13" spans="1:4">
      <c r="A13" t="s">
        <v>657</v>
      </c>
      <c r="B13" s="883">
        <v>41914</v>
      </c>
      <c r="C13" s="885" t="s">
        <v>722</v>
      </c>
      <c r="D13" s="884" t="s">
        <v>716</v>
      </c>
    </row>
    <row r="14" spans="1:4">
      <c r="A14" t="s">
        <v>657</v>
      </c>
      <c r="B14" s="883">
        <v>41914</v>
      </c>
      <c r="C14" s="882" t="s">
        <v>717</v>
      </c>
      <c r="D14" s="884" t="s">
        <v>718</v>
      </c>
    </row>
    <row r="15" spans="1:4">
      <c r="A15" t="s">
        <v>657</v>
      </c>
      <c r="B15" s="883">
        <v>41914</v>
      </c>
      <c r="C15" s="882" t="s">
        <v>719</v>
      </c>
      <c r="D15" s="884" t="s">
        <v>720</v>
      </c>
    </row>
    <row r="16" spans="1:4">
      <c r="A16" t="s">
        <v>657</v>
      </c>
      <c r="B16" s="887">
        <v>41914</v>
      </c>
      <c r="C16" s="886" t="s">
        <v>723</v>
      </c>
      <c r="D16" s="783" t="s">
        <v>724</v>
      </c>
    </row>
    <row r="17" spans="1:4">
      <c r="A17" s="890" t="s">
        <v>657</v>
      </c>
      <c r="B17" s="887">
        <v>41914</v>
      </c>
      <c r="C17" t="s">
        <v>738</v>
      </c>
      <c r="D17" s="889" t="s">
        <v>725</v>
      </c>
    </row>
    <row r="18" spans="1:4">
      <c r="A18" s="890" t="s">
        <v>657</v>
      </c>
      <c r="B18" s="887">
        <v>41914</v>
      </c>
      <c r="C18" t="s">
        <v>726</v>
      </c>
      <c r="D18" s="896" t="s">
        <v>727</v>
      </c>
    </row>
    <row r="19" spans="1:4">
      <c r="A19" s="890" t="s">
        <v>657</v>
      </c>
      <c r="B19" s="887">
        <v>41914</v>
      </c>
      <c r="C19" t="s">
        <v>728</v>
      </c>
      <c r="D19" s="896" t="s">
        <v>729</v>
      </c>
    </row>
    <row r="20" spans="1:4">
      <c r="A20" s="890" t="s">
        <v>657</v>
      </c>
      <c r="B20" s="887">
        <v>41914</v>
      </c>
      <c r="C20" t="s">
        <v>739</v>
      </c>
      <c r="D20" s="896" t="s">
        <v>730</v>
      </c>
    </row>
    <row r="21" spans="1:4">
      <c r="A21" s="890" t="s">
        <v>657</v>
      </c>
      <c r="B21" s="887">
        <v>41914</v>
      </c>
      <c r="C21" t="s">
        <v>731</v>
      </c>
      <c r="D21" s="895" t="s">
        <v>736</v>
      </c>
    </row>
    <row r="22" spans="1:4">
      <c r="A22" s="890" t="s">
        <v>657</v>
      </c>
      <c r="B22" s="887">
        <v>41914</v>
      </c>
      <c r="C22" t="s">
        <v>732</v>
      </c>
      <c r="D22" s="896" t="s">
        <v>733</v>
      </c>
    </row>
    <row r="23" spans="1:4">
      <c r="A23" s="890" t="s">
        <v>657</v>
      </c>
      <c r="B23" s="887">
        <v>41914</v>
      </c>
      <c r="C23" t="s">
        <v>737</v>
      </c>
      <c r="D23" s="896" t="s">
        <v>734</v>
      </c>
    </row>
    <row r="24" spans="1:4">
      <c r="A24" s="890" t="s">
        <v>657</v>
      </c>
      <c r="B24" s="887">
        <v>41925</v>
      </c>
      <c r="C24" t="s">
        <v>740</v>
      </c>
      <c r="D24" s="896" t="s">
        <v>741</v>
      </c>
    </row>
    <row r="25" spans="1:4">
      <c r="A25" t="s">
        <v>657</v>
      </c>
      <c r="B25" s="887">
        <v>41967</v>
      </c>
      <c r="C25" t="s">
        <v>746</v>
      </c>
      <c r="D25" s="895" t="s">
        <v>745</v>
      </c>
    </row>
    <row r="26" spans="1:4">
      <c r="A26" t="s">
        <v>747</v>
      </c>
      <c r="B26" s="887">
        <v>42275</v>
      </c>
      <c r="C26" t="s">
        <v>748</v>
      </c>
      <c r="D26" s="895" t="s">
        <v>755</v>
      </c>
    </row>
    <row r="27" spans="1:4">
      <c r="A27" t="s">
        <v>747</v>
      </c>
      <c r="B27" s="887">
        <v>42275</v>
      </c>
      <c r="C27" t="s">
        <v>749</v>
      </c>
      <c r="D27" s="895" t="s">
        <v>756</v>
      </c>
    </row>
    <row r="28" spans="1:4">
      <c r="A28" t="s">
        <v>747</v>
      </c>
      <c r="B28" s="887">
        <v>42275</v>
      </c>
      <c r="C28" t="s">
        <v>750</v>
      </c>
      <c r="D28" s="895" t="s">
        <v>757</v>
      </c>
    </row>
    <row r="29" spans="1:4">
      <c r="A29" t="s">
        <v>747</v>
      </c>
      <c r="B29" s="887">
        <v>42283</v>
      </c>
      <c r="C29" t="s">
        <v>758</v>
      </c>
      <c r="D29" s="896" t="s">
        <v>759</v>
      </c>
    </row>
    <row r="30" spans="1:4">
      <c r="A30" s="890" t="s">
        <v>775</v>
      </c>
      <c r="B30" s="899">
        <v>42538</v>
      </c>
      <c r="C30" s="899" t="s">
        <v>760</v>
      </c>
      <c r="D30" s="899"/>
    </row>
    <row r="31" spans="1:4">
      <c r="A31" s="890" t="s">
        <v>775</v>
      </c>
      <c r="B31" s="899">
        <v>42538</v>
      </c>
      <c r="C31" s="899" t="s">
        <v>761</v>
      </c>
      <c r="D31" s="900" t="s">
        <v>762</v>
      </c>
    </row>
    <row r="32" spans="1:4">
      <c r="A32" s="890" t="s">
        <v>775</v>
      </c>
      <c r="B32" s="899">
        <v>42538</v>
      </c>
      <c r="C32" s="899" t="s">
        <v>763</v>
      </c>
      <c r="D32" s="901" t="s">
        <v>764</v>
      </c>
    </row>
    <row r="33" spans="1:4">
      <c r="A33" s="890" t="s">
        <v>775</v>
      </c>
      <c r="B33" s="899">
        <v>42538</v>
      </c>
      <c r="C33" s="899" t="s">
        <v>765</v>
      </c>
      <c r="D33" s="900" t="s">
        <v>724</v>
      </c>
    </row>
    <row r="34" spans="1:4">
      <c r="A34" t="s">
        <v>792</v>
      </c>
      <c r="B34" s="768">
        <v>42877</v>
      </c>
      <c r="C34" s="890" t="s">
        <v>848</v>
      </c>
      <c r="D34" s="895" t="s">
        <v>793</v>
      </c>
    </row>
    <row r="35" spans="1:4">
      <c r="A35" s="890" t="s">
        <v>792</v>
      </c>
      <c r="B35" s="768">
        <v>42877</v>
      </c>
      <c r="C35" s="890" t="s">
        <v>849</v>
      </c>
      <c r="D35" s="896" t="s">
        <v>794</v>
      </c>
    </row>
    <row r="36" spans="1:4">
      <c r="A36" s="890" t="s">
        <v>792</v>
      </c>
      <c r="B36" s="768">
        <v>42877</v>
      </c>
      <c r="C36" s="890" t="s">
        <v>850</v>
      </c>
      <c r="D36" s="896" t="s">
        <v>795</v>
      </c>
    </row>
    <row r="37" spans="1:4">
      <c r="A37" t="s">
        <v>832</v>
      </c>
      <c r="B37" s="768">
        <v>43166</v>
      </c>
      <c r="C37" s="899" t="s">
        <v>833</v>
      </c>
      <c r="D37" s="896" t="s">
        <v>834</v>
      </c>
    </row>
    <row r="38" spans="1:4">
      <c r="A38" t="s">
        <v>832</v>
      </c>
      <c r="B38" s="768">
        <v>43166</v>
      </c>
      <c r="C38" s="899" t="s">
        <v>835</v>
      </c>
      <c r="D38" s="895" t="s">
        <v>836</v>
      </c>
    </row>
    <row r="39" spans="1:4">
      <c r="A39" t="s">
        <v>832</v>
      </c>
      <c r="B39" s="768">
        <v>43166</v>
      </c>
      <c r="C39" s="899" t="s">
        <v>837</v>
      </c>
      <c r="D39" s="895" t="s">
        <v>838</v>
      </c>
    </row>
    <row r="40" spans="1:4">
      <c r="A40" t="s">
        <v>832</v>
      </c>
      <c r="B40" s="768">
        <v>43166</v>
      </c>
      <c r="C40" s="899" t="s">
        <v>839</v>
      </c>
      <c r="D40" s="895" t="s">
        <v>840</v>
      </c>
    </row>
    <row r="41" spans="1:4">
      <c r="A41" t="s">
        <v>832</v>
      </c>
      <c r="B41" s="768">
        <v>43278</v>
      </c>
      <c r="C41" s="899" t="s">
        <v>871</v>
      </c>
    </row>
    <row r="42" spans="1:4">
      <c r="A42" t="s">
        <v>873</v>
      </c>
      <c r="B42" s="768">
        <v>43424</v>
      </c>
      <c r="C42" s="899" t="s">
        <v>872</v>
      </c>
    </row>
    <row r="43" spans="1:4">
      <c r="A43" t="s">
        <v>918</v>
      </c>
      <c r="B43" s="768">
        <v>43573</v>
      </c>
      <c r="C43" s="899" t="s">
        <v>919</v>
      </c>
    </row>
    <row r="44" spans="1:4">
      <c r="A44" t="s">
        <v>942</v>
      </c>
      <c r="B44" s="768">
        <v>43678</v>
      </c>
      <c r="C44" s="899" t="s">
        <v>943</v>
      </c>
      <c r="D44" s="895" t="s">
        <v>745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570</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137145.775463711</v>
      </c>
      <c r="C4" s="461">
        <f>huishoudens!C8</f>
        <v>0</v>
      </c>
      <c r="D4" s="461">
        <f>huishoudens!D8</f>
        <v>298839.21075800003</v>
      </c>
      <c r="E4" s="461">
        <f>huishoudens!E8</f>
        <v>11116.340244509109</v>
      </c>
      <c r="F4" s="461">
        <f>huishoudens!F8</f>
        <v>85398.687413827938</v>
      </c>
      <c r="G4" s="461">
        <f>huishoudens!G8</f>
        <v>0</v>
      </c>
      <c r="H4" s="461">
        <f>huishoudens!H8</f>
        <v>0</v>
      </c>
      <c r="I4" s="461">
        <f>huishoudens!I8</f>
        <v>0</v>
      </c>
      <c r="J4" s="461">
        <f>huishoudens!J8</f>
        <v>0</v>
      </c>
      <c r="K4" s="461">
        <f>huishoudens!K8</f>
        <v>0</v>
      </c>
      <c r="L4" s="461">
        <f>huishoudens!L8</f>
        <v>0</v>
      </c>
      <c r="M4" s="461">
        <f>huishoudens!M8</f>
        <v>0</v>
      </c>
      <c r="N4" s="461">
        <f>huishoudens!N8</f>
        <v>34783.239697720353</v>
      </c>
      <c r="O4" s="461">
        <f>huishoudens!O8</f>
        <v>364.25666666666666</v>
      </c>
      <c r="P4" s="462">
        <f>huishoudens!P8</f>
        <v>1372.8</v>
      </c>
      <c r="Q4" s="463">
        <f>SUM(B4:P4)</f>
        <v>569020.31024443521</v>
      </c>
    </row>
    <row r="5" spans="1:17">
      <c r="A5" s="460" t="s">
        <v>156</v>
      </c>
      <c r="B5" s="461">
        <f ca="1">tertiair!B16</f>
        <v>199825.68400000001</v>
      </c>
      <c r="C5" s="461">
        <f ca="1">tertiair!C16</f>
        <v>2858.7857142857142</v>
      </c>
      <c r="D5" s="461">
        <f ca="1">tertiair!D16</f>
        <v>188138.77846742858</v>
      </c>
      <c r="E5" s="461">
        <f>tertiair!E16</f>
        <v>1575.8201407322131</v>
      </c>
      <c r="F5" s="461">
        <f ca="1">tertiair!F16</f>
        <v>40143.064318267207</v>
      </c>
      <c r="G5" s="461">
        <f>tertiair!G16</f>
        <v>0</v>
      </c>
      <c r="H5" s="461">
        <f>tertiair!H16</f>
        <v>0</v>
      </c>
      <c r="I5" s="461">
        <f>tertiair!I16</f>
        <v>0</v>
      </c>
      <c r="J5" s="461">
        <f>tertiair!J16</f>
        <v>0</v>
      </c>
      <c r="K5" s="461">
        <f>tertiair!K16</f>
        <v>0</v>
      </c>
      <c r="L5" s="461">
        <f ca="1">tertiair!L16</f>
        <v>0</v>
      </c>
      <c r="M5" s="461">
        <f>tertiair!M16</f>
        <v>0</v>
      </c>
      <c r="N5" s="461">
        <f ca="1">tertiair!N16</f>
        <v>6222.435891088453</v>
      </c>
      <c r="O5" s="461">
        <f>tertiair!O16</f>
        <v>0</v>
      </c>
      <c r="P5" s="462">
        <f>tertiair!P16</f>
        <v>0</v>
      </c>
      <c r="Q5" s="460">
        <f t="shared" ref="Q5:Q14" ca="1" si="0">SUM(B5:P5)</f>
        <v>438764.56853180222</v>
      </c>
    </row>
    <row r="6" spans="1:17">
      <c r="A6" s="460" t="s">
        <v>194</v>
      </c>
      <c r="B6" s="461">
        <f>'openbare verlichting'!B8</f>
        <v>4953.4170000000004</v>
      </c>
      <c r="C6" s="461"/>
      <c r="D6" s="461"/>
      <c r="E6" s="461"/>
      <c r="F6" s="461"/>
      <c r="G6" s="461"/>
      <c r="H6" s="461"/>
      <c r="I6" s="461"/>
      <c r="J6" s="461"/>
      <c r="K6" s="461"/>
      <c r="L6" s="461"/>
      <c r="M6" s="461"/>
      <c r="N6" s="461"/>
      <c r="O6" s="461"/>
      <c r="P6" s="462"/>
      <c r="Q6" s="460">
        <f t="shared" si="0"/>
        <v>4953.4170000000004</v>
      </c>
    </row>
    <row r="7" spans="1:17">
      <c r="A7" s="460" t="s">
        <v>112</v>
      </c>
      <c r="B7" s="461">
        <f>landbouw!B8</f>
        <v>3383.6849999999999</v>
      </c>
      <c r="C7" s="461">
        <f>landbouw!C8</f>
        <v>0</v>
      </c>
      <c r="D7" s="461">
        <f>landbouw!D8</f>
        <v>2317.3931440000001</v>
      </c>
      <c r="E7" s="461">
        <f>landbouw!E8</f>
        <v>31.876579843319323</v>
      </c>
      <c r="F7" s="461">
        <f>landbouw!F8</f>
        <v>11042.087101430681</v>
      </c>
      <c r="G7" s="461">
        <f>landbouw!G8</f>
        <v>0</v>
      </c>
      <c r="H7" s="461">
        <f>landbouw!H8</f>
        <v>0</v>
      </c>
      <c r="I7" s="461">
        <f>landbouw!I8</f>
        <v>0</v>
      </c>
      <c r="J7" s="461">
        <f>landbouw!J8</f>
        <v>418.57829274067853</v>
      </c>
      <c r="K7" s="461">
        <f>landbouw!K8</f>
        <v>0</v>
      </c>
      <c r="L7" s="461">
        <f>landbouw!L8</f>
        <v>0</v>
      </c>
      <c r="M7" s="461">
        <f>landbouw!M8</f>
        <v>0</v>
      </c>
      <c r="N7" s="461">
        <f>landbouw!N8</f>
        <v>0</v>
      </c>
      <c r="O7" s="461">
        <f>landbouw!O8</f>
        <v>0</v>
      </c>
      <c r="P7" s="462">
        <f>landbouw!P8</f>
        <v>0</v>
      </c>
      <c r="Q7" s="460">
        <f t="shared" si="0"/>
        <v>17193.620118014682</v>
      </c>
    </row>
    <row r="8" spans="1:17">
      <c r="A8" s="460" t="s">
        <v>687</v>
      </c>
      <c r="B8" s="461">
        <f>industrie!B18</f>
        <v>69428.551000000007</v>
      </c>
      <c r="C8" s="461">
        <f>industrie!C18</f>
        <v>321.42857142857144</v>
      </c>
      <c r="D8" s="461">
        <f>industrie!D18</f>
        <v>95071.363811142874</v>
      </c>
      <c r="E8" s="461">
        <f>industrie!E18</f>
        <v>839.22316727889245</v>
      </c>
      <c r="F8" s="461">
        <f>industrie!F18</f>
        <v>33804.569876145426</v>
      </c>
      <c r="G8" s="461">
        <f>industrie!G18</f>
        <v>0</v>
      </c>
      <c r="H8" s="461">
        <f>industrie!H18</f>
        <v>0</v>
      </c>
      <c r="I8" s="461">
        <f>industrie!I18</f>
        <v>0</v>
      </c>
      <c r="J8" s="461">
        <f>industrie!J18</f>
        <v>159.91296162691609</v>
      </c>
      <c r="K8" s="461">
        <f>industrie!K18</f>
        <v>0</v>
      </c>
      <c r="L8" s="461">
        <f>industrie!L18</f>
        <v>0</v>
      </c>
      <c r="M8" s="461">
        <f>industrie!M18</f>
        <v>0</v>
      </c>
      <c r="N8" s="461">
        <f>industrie!N18</f>
        <v>4341.8786544085615</v>
      </c>
      <c r="O8" s="461">
        <f>industrie!O18</f>
        <v>0</v>
      </c>
      <c r="P8" s="462">
        <f>industrie!P18</f>
        <v>0</v>
      </c>
      <c r="Q8" s="460">
        <f t="shared" si="0"/>
        <v>203966.92804203124</v>
      </c>
    </row>
    <row r="9" spans="1:17" s="466" customFormat="1">
      <c r="A9" s="464" t="s">
        <v>581</v>
      </c>
      <c r="B9" s="465">
        <f>transport!B14</f>
        <v>13.610748173240962</v>
      </c>
      <c r="C9" s="465">
        <f>transport!C14</f>
        <v>0</v>
      </c>
      <c r="D9" s="465">
        <f>transport!D14</f>
        <v>37.44562017138901</v>
      </c>
      <c r="E9" s="465">
        <f>transport!E14</f>
        <v>2342.3600283510809</v>
      </c>
      <c r="F9" s="465">
        <f>transport!F14</f>
        <v>0</v>
      </c>
      <c r="G9" s="465">
        <f>transport!G14</f>
        <v>445582.59522322268</v>
      </c>
      <c r="H9" s="465">
        <f>transport!H14</f>
        <v>84721.171539868345</v>
      </c>
      <c r="I9" s="465">
        <f>transport!I14</f>
        <v>0</v>
      </c>
      <c r="J9" s="465">
        <f>transport!J14</f>
        <v>0</v>
      </c>
      <c r="K9" s="465">
        <f>transport!K14</f>
        <v>0</v>
      </c>
      <c r="L9" s="465">
        <f>transport!L14</f>
        <v>0</v>
      </c>
      <c r="M9" s="465">
        <f>transport!M14</f>
        <v>23717.328528569946</v>
      </c>
      <c r="N9" s="465">
        <f>transport!N14</f>
        <v>0</v>
      </c>
      <c r="O9" s="465">
        <f>transport!O14</f>
        <v>0</v>
      </c>
      <c r="P9" s="465">
        <f>transport!P14</f>
        <v>0</v>
      </c>
      <c r="Q9" s="464">
        <f>SUM(B9:P9)</f>
        <v>556414.51168835664</v>
      </c>
    </row>
    <row r="10" spans="1:17">
      <c r="A10" s="460" t="s">
        <v>571</v>
      </c>
      <c r="B10" s="461">
        <f>transport!B54</f>
        <v>0</v>
      </c>
      <c r="C10" s="461">
        <f>transport!C54</f>
        <v>0</v>
      </c>
      <c r="D10" s="461">
        <f>transport!D54</f>
        <v>0</v>
      </c>
      <c r="E10" s="461">
        <f>transport!E54</f>
        <v>0</v>
      </c>
      <c r="F10" s="461">
        <f>transport!F54</f>
        <v>0</v>
      </c>
      <c r="G10" s="461">
        <f>transport!G54</f>
        <v>18328.217386260774</v>
      </c>
      <c r="H10" s="461">
        <f>transport!H54</f>
        <v>0</v>
      </c>
      <c r="I10" s="461">
        <f>transport!I54</f>
        <v>0</v>
      </c>
      <c r="J10" s="461">
        <f>transport!J54</f>
        <v>0</v>
      </c>
      <c r="K10" s="461">
        <f>transport!K54</f>
        <v>0</v>
      </c>
      <c r="L10" s="461">
        <f>transport!L54</f>
        <v>0</v>
      </c>
      <c r="M10" s="461">
        <f>transport!M54</f>
        <v>804.82225971647676</v>
      </c>
      <c r="N10" s="461">
        <f>transport!N54</f>
        <v>0</v>
      </c>
      <c r="O10" s="461">
        <f>transport!O54</f>
        <v>0</v>
      </c>
      <c r="P10" s="462">
        <f>transport!P54</f>
        <v>0</v>
      </c>
      <c r="Q10" s="460">
        <f t="shared" si="0"/>
        <v>19133.039645977253</v>
      </c>
    </row>
    <row r="11" spans="1:17">
      <c r="A11" s="460" t="s">
        <v>572</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573</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574</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917</v>
      </c>
      <c r="B14" s="468">
        <f>'SEAP template'!C25</f>
        <v>5435.0839999999998</v>
      </c>
      <c r="C14" s="468"/>
      <c r="D14" s="468">
        <f>'SEAP template'!E25</f>
        <v>27761.11</v>
      </c>
      <c r="E14" s="468"/>
      <c r="F14" s="468"/>
      <c r="G14" s="468"/>
      <c r="H14" s="468"/>
      <c r="I14" s="468"/>
      <c r="J14" s="468"/>
      <c r="K14" s="468"/>
      <c r="L14" s="468"/>
      <c r="M14" s="468"/>
      <c r="N14" s="468"/>
      <c r="O14" s="468"/>
      <c r="P14" s="469"/>
      <c r="Q14" s="460">
        <f t="shared" si="0"/>
        <v>33196.194000000003</v>
      </c>
    </row>
    <row r="15" spans="1:17" s="473" customFormat="1">
      <c r="A15" s="470" t="s">
        <v>575</v>
      </c>
      <c r="B15" s="471">
        <f ca="1">SUM(B4:B14)</f>
        <v>420185.8072118843</v>
      </c>
      <c r="C15" s="471">
        <f t="shared" ref="C15:Q15" ca="1" si="1">SUM(C4:C14)</f>
        <v>3180.2142857142858</v>
      </c>
      <c r="D15" s="471">
        <f t="shared" ca="1" si="1"/>
        <v>612165.30180074286</v>
      </c>
      <c r="E15" s="471">
        <f t="shared" si="1"/>
        <v>15905.620160714614</v>
      </c>
      <c r="F15" s="471">
        <f t="shared" ca="1" si="1"/>
        <v>170388.40870967126</v>
      </c>
      <c r="G15" s="471">
        <f t="shared" si="1"/>
        <v>463910.81260948349</v>
      </c>
      <c r="H15" s="471">
        <f t="shared" si="1"/>
        <v>84721.171539868345</v>
      </c>
      <c r="I15" s="471">
        <f t="shared" si="1"/>
        <v>0</v>
      </c>
      <c r="J15" s="471">
        <f t="shared" si="1"/>
        <v>578.49125436759459</v>
      </c>
      <c r="K15" s="471">
        <f t="shared" si="1"/>
        <v>0</v>
      </c>
      <c r="L15" s="471">
        <f t="shared" ca="1" si="1"/>
        <v>0</v>
      </c>
      <c r="M15" s="471">
        <f t="shared" si="1"/>
        <v>24522.150788286424</v>
      </c>
      <c r="N15" s="471">
        <f t="shared" ca="1" si="1"/>
        <v>45347.554243217368</v>
      </c>
      <c r="O15" s="471">
        <f t="shared" si="1"/>
        <v>364.25666666666666</v>
      </c>
      <c r="P15" s="471">
        <f t="shared" si="1"/>
        <v>1372.8</v>
      </c>
      <c r="Q15" s="471">
        <f t="shared" ca="1" si="1"/>
        <v>1842642.5892706171</v>
      </c>
    </row>
    <row r="17" spans="1:17">
      <c r="A17" s="474" t="s">
        <v>576</v>
      </c>
      <c r="B17" s="778">
        <f ca="1">huishoudens!B10</f>
        <v>0.20253453484573741</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578</v>
      </c>
      <c r="B19" s="1152" t="s">
        <v>577</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27776.755839600657</v>
      </c>
      <c r="C22" s="461">
        <f t="shared" ref="C22:C32" ca="1" si="3">C4*$C$17</f>
        <v>0</v>
      </c>
      <c r="D22" s="461">
        <f t="shared" ref="D22:D32" si="4">D4*$D$17</f>
        <v>60365.520573116009</v>
      </c>
      <c r="E22" s="461">
        <f t="shared" ref="E22:E32" si="5">E4*$E$17</f>
        <v>2523.4092355035677</v>
      </c>
      <c r="F22" s="461">
        <f t="shared" ref="F22:F32" si="6">F4*$F$17</f>
        <v>22801.44953949206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113467.13518771229</v>
      </c>
    </row>
    <row r="23" spans="1:17">
      <c r="A23" s="460" t="s">
        <v>156</v>
      </c>
      <c r="B23" s="461">
        <f t="shared" ca="1" si="2"/>
        <v>40471.601959171312</v>
      </c>
      <c r="C23" s="461">
        <f t="shared" ca="1" si="3"/>
        <v>679.38201680672285</v>
      </c>
      <c r="D23" s="461">
        <f t="shared" ca="1" si="4"/>
        <v>38004.033250420573</v>
      </c>
      <c r="E23" s="461">
        <f t="shared" si="5"/>
        <v>357.7111719462124</v>
      </c>
      <c r="F23" s="461">
        <f t="shared" ca="1" si="6"/>
        <v>10718.198172977345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90230.926571322154</v>
      </c>
    </row>
    <row r="24" spans="1:17">
      <c r="A24" s="460" t="s">
        <v>194</v>
      </c>
      <c r="B24" s="461">
        <f t="shared" ca="1" si="2"/>
        <v>1003.2380079919682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1003.2380079919682</v>
      </c>
    </row>
    <row r="25" spans="1:17">
      <c r="A25" s="460" t="s">
        <v>112</v>
      </c>
      <c r="B25" s="461">
        <f t="shared" ca="1" si="2"/>
        <v>685.313067539499</v>
      </c>
      <c r="C25" s="461">
        <f t="shared" ca="1" si="3"/>
        <v>0</v>
      </c>
      <c r="D25" s="461">
        <f t="shared" si="4"/>
        <v>468.11341508800007</v>
      </c>
      <c r="E25" s="461">
        <f t="shared" si="5"/>
        <v>7.2359836244334863</v>
      </c>
      <c r="F25" s="461">
        <f t="shared" si="6"/>
        <v>2948.2372560819922</v>
      </c>
      <c r="G25" s="461">
        <f t="shared" si="7"/>
        <v>0</v>
      </c>
      <c r="H25" s="461">
        <f t="shared" si="8"/>
        <v>0</v>
      </c>
      <c r="I25" s="461">
        <f t="shared" si="9"/>
        <v>0</v>
      </c>
      <c r="J25" s="461">
        <f t="shared" si="10"/>
        <v>148.17671563020019</v>
      </c>
      <c r="K25" s="461">
        <f t="shared" si="11"/>
        <v>0</v>
      </c>
      <c r="L25" s="461">
        <f t="shared" si="12"/>
        <v>0</v>
      </c>
      <c r="M25" s="461">
        <f t="shared" si="13"/>
        <v>0</v>
      </c>
      <c r="N25" s="461">
        <f t="shared" si="14"/>
        <v>0</v>
      </c>
      <c r="O25" s="461">
        <f t="shared" si="15"/>
        <v>0</v>
      </c>
      <c r="P25" s="462">
        <f t="shared" si="16"/>
        <v>0</v>
      </c>
      <c r="Q25" s="460">
        <f t="shared" ca="1" si="17"/>
        <v>4257.076437964125</v>
      </c>
    </row>
    <row r="26" spans="1:17">
      <c r="A26" s="460" t="s">
        <v>687</v>
      </c>
      <c r="B26" s="461">
        <f t="shared" ca="1" si="2"/>
        <v>14061.679281798559</v>
      </c>
      <c r="C26" s="461">
        <f t="shared" ca="1" si="3"/>
        <v>76.386554621848759</v>
      </c>
      <c r="D26" s="461">
        <f t="shared" si="4"/>
        <v>19204.41548985086</v>
      </c>
      <c r="E26" s="461">
        <f t="shared" si="5"/>
        <v>190.50365897230859</v>
      </c>
      <c r="F26" s="461">
        <f t="shared" si="6"/>
        <v>9025.8201569308294</v>
      </c>
      <c r="G26" s="461">
        <f t="shared" si="7"/>
        <v>0</v>
      </c>
      <c r="H26" s="461">
        <f t="shared" si="8"/>
        <v>0</v>
      </c>
      <c r="I26" s="461">
        <f t="shared" si="9"/>
        <v>0</v>
      </c>
      <c r="J26" s="461">
        <f t="shared" si="10"/>
        <v>56.609188415928294</v>
      </c>
      <c r="K26" s="461">
        <f t="shared" si="11"/>
        <v>0</v>
      </c>
      <c r="L26" s="461">
        <f t="shared" si="12"/>
        <v>0</v>
      </c>
      <c r="M26" s="461">
        <f t="shared" si="13"/>
        <v>0</v>
      </c>
      <c r="N26" s="461">
        <f t="shared" si="14"/>
        <v>0</v>
      </c>
      <c r="O26" s="461">
        <f t="shared" si="15"/>
        <v>0</v>
      </c>
      <c r="P26" s="462">
        <f t="shared" si="16"/>
        <v>0</v>
      </c>
      <c r="Q26" s="460">
        <f t="shared" ca="1" si="17"/>
        <v>42615.414330590334</v>
      </c>
    </row>
    <row r="27" spans="1:17" s="466" customFormat="1">
      <c r="A27" s="464" t="s">
        <v>581</v>
      </c>
      <c r="B27" s="772">
        <f t="shared" ca="1" si="2"/>
        <v>2.7566465501698283</v>
      </c>
      <c r="C27" s="465">
        <f t="shared" ca="1" si="3"/>
        <v>0</v>
      </c>
      <c r="D27" s="465">
        <f t="shared" si="4"/>
        <v>7.56401527462058</v>
      </c>
      <c r="E27" s="465">
        <f t="shared" si="5"/>
        <v>531.71572643569539</v>
      </c>
      <c r="F27" s="465">
        <f t="shared" si="6"/>
        <v>0</v>
      </c>
      <c r="G27" s="465">
        <f t="shared" si="7"/>
        <v>118970.55292460046</v>
      </c>
      <c r="H27" s="465">
        <f t="shared" si="8"/>
        <v>21095.571713427216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140608.16102628817</v>
      </c>
    </row>
    <row r="28" spans="1:17">
      <c r="A28" s="460" t="s">
        <v>571</v>
      </c>
      <c r="B28" s="461">
        <f t="shared" ca="1" si="2"/>
        <v>0</v>
      </c>
      <c r="C28" s="461">
        <f t="shared" ca="1" si="3"/>
        <v>0</v>
      </c>
      <c r="D28" s="461">
        <f t="shared" si="4"/>
        <v>0</v>
      </c>
      <c r="E28" s="461">
        <f t="shared" si="5"/>
        <v>0</v>
      </c>
      <c r="F28" s="461">
        <f t="shared" si="6"/>
        <v>0</v>
      </c>
      <c r="G28" s="461">
        <f t="shared" si="7"/>
        <v>4893.6340421316272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4893.6340421316272</v>
      </c>
    </row>
    <row r="29" spans="1:17">
      <c r="A29" s="460" t="s">
        <v>572</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573</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574</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917</v>
      </c>
      <c r="B32" s="461">
        <f t="shared" ca="1" si="2"/>
        <v>1100.7922097875098</v>
      </c>
      <c r="C32" s="461">
        <f t="shared" ca="1" si="3"/>
        <v>0</v>
      </c>
      <c r="D32" s="461">
        <f t="shared" si="4"/>
        <v>5607.7442200000005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6708.5364297875103</v>
      </c>
    </row>
    <row r="33" spans="1:17" s="473" customFormat="1">
      <c r="A33" s="470" t="s">
        <v>575</v>
      </c>
      <c r="B33" s="471">
        <f ca="1">SUM(B22:B32)</f>
        <v>85102.137012439664</v>
      </c>
      <c r="C33" s="471">
        <f t="shared" ref="C33:Q33" ca="1" si="18">SUM(C22:C32)</f>
        <v>755.76857142857159</v>
      </c>
      <c r="D33" s="471">
        <f t="shared" ca="1" si="18"/>
        <v>123657.39096375005</v>
      </c>
      <c r="E33" s="471">
        <f t="shared" si="18"/>
        <v>3610.5757764822174</v>
      </c>
      <c r="F33" s="471">
        <f t="shared" ca="1" si="18"/>
        <v>45493.705125482229</v>
      </c>
      <c r="G33" s="471">
        <f t="shared" si="18"/>
        <v>123864.18696673209</v>
      </c>
      <c r="H33" s="471">
        <f t="shared" si="18"/>
        <v>21095.571713427216</v>
      </c>
      <c r="I33" s="471">
        <f t="shared" si="18"/>
        <v>0</v>
      </c>
      <c r="J33" s="471">
        <f t="shared" si="18"/>
        <v>204.78590404612848</v>
      </c>
      <c r="K33" s="471">
        <f t="shared" si="18"/>
        <v>0</v>
      </c>
      <c r="L33" s="471">
        <f t="shared" ca="1" si="18"/>
        <v>0</v>
      </c>
      <c r="M33" s="471">
        <f t="shared" si="18"/>
        <v>0</v>
      </c>
      <c r="N33" s="471">
        <f t="shared" ca="1" si="18"/>
        <v>0</v>
      </c>
      <c r="O33" s="471">
        <f t="shared" si="18"/>
        <v>0</v>
      </c>
      <c r="P33" s="471">
        <f t="shared" si="18"/>
        <v>0</v>
      </c>
      <c r="Q33" s="471">
        <f t="shared" ca="1" si="18"/>
        <v>403784.12203378824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570</v>
      </c>
      <c r="B1" s="1161" t="s">
        <v>874</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875</v>
      </c>
      <c r="C4" s="937" t="s">
        <v>876</v>
      </c>
      <c r="D4" s="938" t="s">
        <v>877</v>
      </c>
      <c r="E4" s="939" t="s">
        <v>878</v>
      </c>
      <c r="F4" s="939" t="s">
        <v>879</v>
      </c>
      <c r="G4" s="940" t="s">
        <v>882</v>
      </c>
      <c r="H4" s="940" t="s">
        <v>882</v>
      </c>
      <c r="I4" s="940" t="s">
        <v>882</v>
      </c>
      <c r="J4" s="939" t="s">
        <v>881</v>
      </c>
      <c r="K4" s="940" t="s">
        <v>882</v>
      </c>
      <c r="L4" s="940" t="s">
        <v>882</v>
      </c>
      <c r="M4" s="940" t="s">
        <v>882</v>
      </c>
      <c r="N4" s="939" t="s">
        <v>883</v>
      </c>
      <c r="O4" s="941" t="s">
        <v>884</v>
      </c>
      <c r="P4" s="942" t="s">
        <v>885</v>
      </c>
      <c r="Q4" s="943"/>
    </row>
    <row r="5" spans="1:17" ht="124.35" customHeight="1">
      <c r="A5" s="944" t="s">
        <v>156</v>
      </c>
      <c r="B5" s="945" t="s">
        <v>886</v>
      </c>
      <c r="C5" s="946" t="s">
        <v>887</v>
      </c>
      <c r="D5" s="946" t="s">
        <v>888</v>
      </c>
      <c r="E5" s="947" t="s">
        <v>889</v>
      </c>
      <c r="F5" s="947" t="s">
        <v>890</v>
      </c>
      <c r="G5" s="948" t="s">
        <v>882</v>
      </c>
      <c r="H5" s="948" t="s">
        <v>882</v>
      </c>
      <c r="I5" s="948" t="s">
        <v>882</v>
      </c>
      <c r="J5" s="947" t="s">
        <v>891</v>
      </c>
      <c r="K5" s="945" t="s">
        <v>892</v>
      </c>
      <c r="L5" s="948" t="s">
        <v>882</v>
      </c>
      <c r="M5" s="948" t="s">
        <v>882</v>
      </c>
      <c r="N5" s="947" t="s">
        <v>893</v>
      </c>
      <c r="O5" s="949" t="s">
        <v>884</v>
      </c>
      <c r="P5" s="950" t="s">
        <v>885</v>
      </c>
      <c r="Q5" s="951"/>
    </row>
    <row r="6" spans="1:17" ht="124.35" customHeight="1">
      <c r="A6" s="944" t="s">
        <v>194</v>
      </c>
      <c r="B6" s="952" t="s">
        <v>894</v>
      </c>
      <c r="C6" s="953" t="s">
        <v>880</v>
      </c>
      <c r="D6" s="948" t="s">
        <v>880</v>
      </c>
      <c r="E6" s="948" t="s">
        <v>880</v>
      </c>
      <c r="F6" s="948" t="s">
        <v>880</v>
      </c>
      <c r="G6" s="948" t="s">
        <v>880</v>
      </c>
      <c r="H6" s="948" t="s">
        <v>880</v>
      </c>
      <c r="I6" s="948" t="s">
        <v>880</v>
      </c>
      <c r="J6" s="948" t="s">
        <v>880</v>
      </c>
      <c r="K6" s="948" t="s">
        <v>880</v>
      </c>
      <c r="L6" s="948" t="s">
        <v>880</v>
      </c>
      <c r="M6" s="948" t="s">
        <v>880</v>
      </c>
      <c r="N6" s="948" t="s">
        <v>880</v>
      </c>
      <c r="O6" s="954" t="s">
        <v>880</v>
      </c>
      <c r="P6" s="955" t="s">
        <v>880</v>
      </c>
      <c r="Q6" s="956"/>
    </row>
    <row r="7" spans="1:17" ht="124.35" customHeight="1">
      <c r="A7" s="944" t="s">
        <v>112</v>
      </c>
      <c r="B7" s="952" t="s">
        <v>894</v>
      </c>
      <c r="C7" s="946" t="s">
        <v>887</v>
      </c>
      <c r="D7" s="946" t="s">
        <v>888</v>
      </c>
      <c r="E7" s="947" t="s">
        <v>889</v>
      </c>
      <c r="F7" s="947" t="s">
        <v>890</v>
      </c>
      <c r="G7" s="948" t="s">
        <v>882</v>
      </c>
      <c r="H7" s="948" t="s">
        <v>882</v>
      </c>
      <c r="I7" s="948" t="s">
        <v>882</v>
      </c>
      <c r="J7" s="947" t="s">
        <v>891</v>
      </c>
      <c r="K7" s="948" t="s">
        <v>882</v>
      </c>
      <c r="L7" s="948" t="s">
        <v>882</v>
      </c>
      <c r="M7" s="948" t="s">
        <v>882</v>
      </c>
      <c r="N7" s="957" t="s">
        <v>882</v>
      </c>
      <c r="O7" s="953" t="s">
        <v>882</v>
      </c>
      <c r="P7" s="958" t="s">
        <v>882</v>
      </c>
      <c r="Q7" s="951"/>
    </row>
    <row r="8" spans="1:17" ht="124.35" customHeight="1">
      <c r="A8" s="944" t="s">
        <v>687</v>
      </c>
      <c r="B8" s="945" t="s">
        <v>895</v>
      </c>
      <c r="C8" s="946" t="s">
        <v>887</v>
      </c>
      <c r="D8" s="946" t="s">
        <v>888</v>
      </c>
      <c r="E8" s="947" t="s">
        <v>889</v>
      </c>
      <c r="F8" s="947" t="s">
        <v>890</v>
      </c>
      <c r="G8" s="948" t="s">
        <v>882</v>
      </c>
      <c r="H8" s="948" t="s">
        <v>882</v>
      </c>
      <c r="I8" s="948" t="s">
        <v>882</v>
      </c>
      <c r="J8" s="947" t="s">
        <v>891</v>
      </c>
      <c r="K8" s="945" t="s">
        <v>892</v>
      </c>
      <c r="L8" s="948" t="s">
        <v>882</v>
      </c>
      <c r="M8" s="948" t="s">
        <v>882</v>
      </c>
      <c r="N8" s="947" t="s">
        <v>893</v>
      </c>
      <c r="O8" s="949" t="s">
        <v>884</v>
      </c>
      <c r="P8" s="950" t="s">
        <v>885</v>
      </c>
      <c r="Q8" s="951"/>
    </row>
    <row r="9" spans="1:17" s="466" customFormat="1" ht="124.35" customHeight="1">
      <c r="A9" s="959" t="s">
        <v>581</v>
      </c>
      <c r="B9" s="947" t="s">
        <v>896</v>
      </c>
      <c r="C9" s="954" t="s">
        <v>880</v>
      </c>
      <c r="D9" s="947" t="s">
        <v>897</v>
      </c>
      <c r="E9" s="947" t="s">
        <v>898</v>
      </c>
      <c r="F9" s="948" t="s">
        <v>880</v>
      </c>
      <c r="G9" s="947" t="s">
        <v>899</v>
      </c>
      <c r="H9" s="947" t="s">
        <v>900</v>
      </c>
      <c r="I9" s="948" t="s">
        <v>880</v>
      </c>
      <c r="J9" s="948" t="s">
        <v>880</v>
      </c>
      <c r="K9" s="948" t="s">
        <v>880</v>
      </c>
      <c r="L9" s="948" t="s">
        <v>880</v>
      </c>
      <c r="M9" s="947" t="s">
        <v>896</v>
      </c>
      <c r="N9" s="948" t="s">
        <v>880</v>
      </c>
      <c r="O9" s="948" t="s">
        <v>880</v>
      </c>
      <c r="P9" s="960" t="s">
        <v>880</v>
      </c>
      <c r="Q9" s="961"/>
    </row>
    <row r="10" spans="1:17" ht="124.35" customHeight="1">
      <c r="A10" s="944" t="s">
        <v>571</v>
      </c>
      <c r="B10" s="945" t="s">
        <v>908</v>
      </c>
      <c r="C10" s="954" t="s">
        <v>880</v>
      </c>
      <c r="D10" s="954" t="s">
        <v>880</v>
      </c>
      <c r="E10" s="954" t="s">
        <v>880</v>
      </c>
      <c r="F10" s="948" t="s">
        <v>880</v>
      </c>
      <c r="G10" s="945" t="s">
        <v>901</v>
      </c>
      <c r="H10" s="948" t="s">
        <v>880</v>
      </c>
      <c r="I10" s="948" t="s">
        <v>880</v>
      </c>
      <c r="J10" s="948" t="s">
        <v>880</v>
      </c>
      <c r="K10" s="948" t="s">
        <v>880</v>
      </c>
      <c r="L10" s="948" t="s">
        <v>880</v>
      </c>
      <c r="M10" s="945" t="s">
        <v>902</v>
      </c>
      <c r="N10" s="948" t="s">
        <v>880</v>
      </c>
      <c r="O10" s="948" t="s">
        <v>880</v>
      </c>
      <c r="P10" s="960" t="s">
        <v>880</v>
      </c>
      <c r="Q10" s="951"/>
    </row>
    <row r="11" spans="1:17" ht="21">
      <c r="A11" s="944" t="s">
        <v>572</v>
      </c>
      <c r="B11" s="962" t="s">
        <v>903</v>
      </c>
      <c r="C11" s="962" t="s">
        <v>903</v>
      </c>
      <c r="D11" s="962" t="s">
        <v>903</v>
      </c>
      <c r="E11" s="962" t="s">
        <v>903</v>
      </c>
      <c r="F11" s="962" t="s">
        <v>903</v>
      </c>
      <c r="G11" s="962" t="s">
        <v>903</v>
      </c>
      <c r="H11" s="962" t="s">
        <v>903</v>
      </c>
      <c r="I11" s="962" t="s">
        <v>903</v>
      </c>
      <c r="J11" s="962" t="s">
        <v>903</v>
      </c>
      <c r="K11" s="962" t="s">
        <v>903</v>
      </c>
      <c r="L11" s="962" t="s">
        <v>903</v>
      </c>
      <c r="M11" s="962" t="s">
        <v>903</v>
      </c>
      <c r="N11" s="962" t="s">
        <v>903</v>
      </c>
      <c r="O11" s="962" t="s">
        <v>903</v>
      </c>
      <c r="P11" s="1032" t="s">
        <v>903</v>
      </c>
      <c r="Q11" s="1033"/>
    </row>
    <row r="12" spans="1:17" ht="21">
      <c r="A12" s="944" t="s">
        <v>573</v>
      </c>
      <c r="B12" s="962" t="s">
        <v>903</v>
      </c>
      <c r="C12" s="962" t="s">
        <v>880</v>
      </c>
      <c r="D12" s="962" t="s">
        <v>880</v>
      </c>
      <c r="E12" s="962" t="s">
        <v>880</v>
      </c>
      <c r="F12" s="962" t="s">
        <v>880</v>
      </c>
      <c r="G12" s="962" t="s">
        <v>880</v>
      </c>
      <c r="H12" s="962" t="s">
        <v>880</v>
      </c>
      <c r="I12" s="962" t="s">
        <v>880</v>
      </c>
      <c r="J12" s="962" t="s">
        <v>880</v>
      </c>
      <c r="K12" s="962" t="s">
        <v>880</v>
      </c>
      <c r="L12" s="962" t="s">
        <v>880</v>
      </c>
      <c r="M12" s="962" t="s">
        <v>880</v>
      </c>
      <c r="N12" s="962" t="s">
        <v>880</v>
      </c>
      <c r="O12" s="962" t="s">
        <v>880</v>
      </c>
      <c r="P12" s="1032" t="s">
        <v>880</v>
      </c>
      <c r="Q12" s="460"/>
    </row>
    <row r="13" spans="1:17" ht="21">
      <c r="A13" s="944" t="s">
        <v>574</v>
      </c>
      <c r="B13" s="962" t="s">
        <v>903</v>
      </c>
      <c r="C13" s="962" t="s">
        <v>880</v>
      </c>
      <c r="D13" s="962" t="s">
        <v>903</v>
      </c>
      <c r="E13" s="962" t="s">
        <v>903</v>
      </c>
      <c r="F13" s="962" t="s">
        <v>880</v>
      </c>
      <c r="G13" s="962" t="s">
        <v>903</v>
      </c>
      <c r="H13" s="962" t="s">
        <v>903</v>
      </c>
      <c r="I13" s="962" t="s">
        <v>880</v>
      </c>
      <c r="J13" s="962" t="s">
        <v>880</v>
      </c>
      <c r="K13" s="962" t="s">
        <v>880</v>
      </c>
      <c r="L13" s="962" t="s">
        <v>880</v>
      </c>
      <c r="M13" s="962" t="s">
        <v>903</v>
      </c>
      <c r="N13" s="962" t="s">
        <v>880</v>
      </c>
      <c r="O13" s="962" t="s">
        <v>880</v>
      </c>
      <c r="P13" s="1032" t="s">
        <v>880</v>
      </c>
      <c r="Q13" s="460"/>
    </row>
    <row r="14" spans="1:17" ht="30">
      <c r="A14" s="963" t="s">
        <v>917</v>
      </c>
      <c r="B14" s="952" t="s">
        <v>894</v>
      </c>
      <c r="C14" s="962" t="s">
        <v>880</v>
      </c>
      <c r="D14" s="952" t="s">
        <v>894</v>
      </c>
      <c r="E14" s="962" t="s">
        <v>880</v>
      </c>
      <c r="F14" s="962" t="s">
        <v>880</v>
      </c>
      <c r="G14" s="962" t="s">
        <v>880</v>
      </c>
      <c r="H14" s="962" t="s">
        <v>880</v>
      </c>
      <c r="I14" s="962" t="s">
        <v>880</v>
      </c>
      <c r="J14" s="962" t="s">
        <v>880</v>
      </c>
      <c r="K14" s="962" t="s">
        <v>880</v>
      </c>
      <c r="L14" s="962" t="s">
        <v>880</v>
      </c>
      <c r="M14" s="962" t="s">
        <v>880</v>
      </c>
      <c r="N14" s="962" t="s">
        <v>880</v>
      </c>
      <c r="O14" s="962" t="s">
        <v>880</v>
      </c>
      <c r="P14" s="962" t="s">
        <v>880</v>
      </c>
      <c r="Q14" s="1034"/>
    </row>
    <row r="15" spans="1:17" s="473" customFormat="1" ht="21">
      <c r="A15" s="964" t="s">
        <v>575</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904</v>
      </c>
      <c r="B18" s="972" t="s">
        <v>905</v>
      </c>
      <c r="C18" s="973" t="s">
        <v>906</v>
      </c>
      <c r="D18" s="974" t="s">
        <v>907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920</v>
      </c>
    </row>
    <row r="2" spans="1:16" ht="60">
      <c r="A2" s="1169"/>
      <c r="B2" s="1170"/>
      <c r="C2" s="1170"/>
      <c r="D2" s="1171" t="s">
        <v>197</v>
      </c>
      <c r="E2" s="1171"/>
      <c r="F2" s="1171"/>
      <c r="G2" s="1171"/>
      <c r="H2" s="1171"/>
      <c r="I2" s="1035" t="s">
        <v>921</v>
      </c>
      <c r="J2" s="1035" t="s">
        <v>234</v>
      </c>
      <c r="K2" s="1035" t="s">
        <v>922</v>
      </c>
      <c r="L2" s="1035" t="s">
        <v>911</v>
      </c>
      <c r="M2" s="1035" t="s">
        <v>245</v>
      </c>
      <c r="N2" s="1035" t="s">
        <v>923</v>
      </c>
      <c r="O2" s="1035" t="s">
        <v>127</v>
      </c>
      <c r="P2" s="1170"/>
    </row>
    <row r="3" spans="1:16" ht="30">
      <c r="A3" s="1169"/>
      <c r="B3" s="1035" t="s">
        <v>924</v>
      </c>
      <c r="C3" s="1035" t="s">
        <v>925</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14237.021407305889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19801.429865937316</v>
      </c>
      <c r="C6" s="1037"/>
      <c r="D6" s="1037"/>
      <c r="E6" s="1037"/>
      <c r="F6" s="1037"/>
      <c r="G6" s="1037"/>
      <c r="H6" s="1037"/>
      <c r="I6" s="1037"/>
      <c r="J6" s="1037"/>
      <c r="K6" s="1037"/>
      <c r="L6" s="1037"/>
      <c r="M6" s="1037"/>
      <c r="N6" s="1037"/>
      <c r="O6" s="1037"/>
      <c r="P6" s="1038">
        <f>'SEAP template'!Q74</f>
        <v>0</v>
      </c>
    </row>
    <row r="7" spans="1:16">
      <c r="A7" s="1039" t="s">
        <v>911</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2226.15</v>
      </c>
      <c r="D8" s="1037">
        <f>'SEAP template'!D76</f>
        <v>2619.0000000000005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529.03800000000012</v>
      </c>
    </row>
    <row r="9" spans="1:16">
      <c r="A9" s="1040" t="s">
        <v>926</v>
      </c>
      <c r="B9" s="1037">
        <f>'SEAP template'!B77</f>
        <v>1237.5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3535.7142857142858</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35275.951273243205</v>
      </c>
      <c r="C10" s="1041">
        <f>SUM(C4:C9)</f>
        <v>2226.15</v>
      </c>
      <c r="D10" s="1041">
        <f t="shared" ref="D10:H10" si="0">SUM(D8:D9)</f>
        <v>2619.0000000000005</v>
      </c>
      <c r="E10" s="1041">
        <f t="shared" si="0"/>
        <v>0</v>
      </c>
      <c r="F10" s="1041">
        <f t="shared" si="0"/>
        <v>0</v>
      </c>
      <c r="G10" s="1041">
        <f t="shared" si="0"/>
        <v>0</v>
      </c>
      <c r="H10" s="1041">
        <f t="shared" si="0"/>
        <v>0</v>
      </c>
      <c r="I10" s="1041">
        <f>SUM(I8:I9)</f>
        <v>0</v>
      </c>
      <c r="J10" s="1041">
        <f>SUM(J8:J9)</f>
        <v>3535.7142857142858</v>
      </c>
      <c r="K10" s="1041">
        <f t="shared" ref="K10:L10" si="1">SUM(K8:K9)</f>
        <v>0</v>
      </c>
      <c r="L10" s="1041">
        <f t="shared" si="1"/>
        <v>0</v>
      </c>
      <c r="M10" s="1041">
        <f>SUM(M8:M9)</f>
        <v>0</v>
      </c>
      <c r="N10" s="1041">
        <f>SUM(N8:N9)</f>
        <v>0</v>
      </c>
      <c r="O10" s="1041">
        <f>SUM(O8:O9)</f>
        <v>0</v>
      </c>
      <c r="P10" s="1041">
        <f>SUM(P8:P9)</f>
        <v>529.03800000000012</v>
      </c>
    </row>
    <row r="11" spans="1:16">
      <c r="A11" s="1042"/>
      <c r="B11" s="1042"/>
      <c r="C11" s="1042"/>
      <c r="D11" s="1042"/>
      <c r="E11" s="1042"/>
      <c r="F11" s="1042"/>
      <c r="G11" s="1042"/>
      <c r="H11" s="1042"/>
      <c r="I11" s="1042"/>
      <c r="J11" s="1042"/>
      <c r="K11" s="1042"/>
      <c r="L11" s="1042"/>
      <c r="M11" s="1042"/>
      <c r="N11" s="1042"/>
      <c r="O11" s="1042"/>
      <c r="P11" s="1042"/>
    </row>
    <row r="12" spans="1:16">
      <c r="A12" s="474" t="s">
        <v>927</v>
      </c>
      <c r="B12" s="778" t="s">
        <v>928</v>
      </c>
      <c r="C12" s="778">
        <f ca="1">'EF ele_warmte'!B12</f>
        <v>0.20253453484573741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929</v>
      </c>
    </row>
    <row r="15" spans="1:16">
      <c r="A15" s="1169"/>
      <c r="B15" s="1170"/>
      <c r="C15" s="1170"/>
      <c r="D15" s="1172" t="s">
        <v>197</v>
      </c>
      <c r="E15" s="1172"/>
      <c r="F15" s="1172"/>
      <c r="G15" s="1172"/>
      <c r="H15" s="1172"/>
      <c r="I15" s="1170" t="s">
        <v>921</v>
      </c>
      <c r="J15" s="1170" t="s">
        <v>234</v>
      </c>
      <c r="K15" s="1170" t="s">
        <v>922</v>
      </c>
      <c r="L15" s="1170" t="s">
        <v>911</v>
      </c>
      <c r="M15" s="1170" t="s">
        <v>245</v>
      </c>
      <c r="N15" s="1170" t="s">
        <v>930</v>
      </c>
      <c r="O15" s="1170" t="s">
        <v>127</v>
      </c>
      <c r="P15" s="1170"/>
    </row>
    <row r="16" spans="1:16" ht="30">
      <c r="A16" s="1169"/>
      <c r="B16" s="1035" t="s">
        <v>931</v>
      </c>
      <c r="C16" s="1035" t="s">
        <v>932</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3180.2142857142858</v>
      </c>
      <c r="D17" s="1038">
        <f>'SEAP template'!D87</f>
        <v>3741.428571428572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755.76857142857159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933</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3180.2142857142858</v>
      </c>
      <c r="D20" s="1041">
        <f t="shared" ref="D20:H20" si="2">SUM(D17:D19)</f>
        <v>3741.428571428572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755.76857142857159</v>
      </c>
    </row>
    <row r="22" spans="1:16">
      <c r="A22" s="474" t="s">
        <v>934</v>
      </c>
      <c r="B22" s="778" t="s">
        <v>928</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920</v>
      </c>
    </row>
    <row r="2" spans="1:16" ht="15.75">
      <c r="A2" s="1169"/>
      <c r="B2" s="1170"/>
      <c r="C2" s="1170"/>
      <c r="D2" s="1171" t="s">
        <v>197</v>
      </c>
      <c r="E2" s="1171"/>
      <c r="F2" s="1171"/>
      <c r="G2" s="1171"/>
      <c r="H2" s="1171"/>
      <c r="I2" s="1035" t="s">
        <v>921</v>
      </c>
      <c r="J2" s="1035" t="s">
        <v>234</v>
      </c>
      <c r="K2" s="1035" t="s">
        <v>922</v>
      </c>
      <c r="L2" s="1035" t="s">
        <v>911</v>
      </c>
      <c r="M2" s="1035" t="s">
        <v>245</v>
      </c>
      <c r="N2" s="1035" t="s">
        <v>923</v>
      </c>
      <c r="O2" s="1035" t="s">
        <v>127</v>
      </c>
      <c r="P2" s="1170"/>
    </row>
    <row r="3" spans="1:16" ht="30">
      <c r="A3" s="1169"/>
      <c r="B3" s="1035" t="s">
        <v>924</v>
      </c>
      <c r="C3" s="1035" t="s">
        <v>925</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935</v>
      </c>
      <c r="C4" s="1049" t="s">
        <v>880</v>
      </c>
      <c r="D4" s="1049" t="s">
        <v>880</v>
      </c>
      <c r="E4" s="1049" t="s">
        <v>880</v>
      </c>
      <c r="F4" s="1049" t="s">
        <v>880</v>
      </c>
      <c r="G4" s="1049" t="s">
        <v>880</v>
      </c>
      <c r="H4" s="1049" t="s">
        <v>880</v>
      </c>
      <c r="I4" s="1049" t="s">
        <v>880</v>
      </c>
      <c r="J4" s="1049" t="s">
        <v>880</v>
      </c>
      <c r="K4" s="1049" t="s">
        <v>880</v>
      </c>
      <c r="L4" s="1049" t="s">
        <v>880</v>
      </c>
      <c r="M4" s="1049" t="s">
        <v>880</v>
      </c>
      <c r="N4" s="1049" t="s">
        <v>880</v>
      </c>
      <c r="O4" s="1049" t="s">
        <v>880</v>
      </c>
      <c r="P4" s="1050" t="s">
        <v>936</v>
      </c>
    </row>
    <row r="5" spans="1:16" ht="135">
      <c r="A5" s="1051" t="s">
        <v>250</v>
      </c>
      <c r="B5" s="1048" t="s">
        <v>935</v>
      </c>
      <c r="C5" s="1049" t="s">
        <v>880</v>
      </c>
      <c r="D5" s="1049" t="s">
        <v>880</v>
      </c>
      <c r="E5" s="1049" t="s">
        <v>880</v>
      </c>
      <c r="F5" s="1049" t="s">
        <v>880</v>
      </c>
      <c r="G5" s="1049" t="s">
        <v>880</v>
      </c>
      <c r="H5" s="1049" t="s">
        <v>880</v>
      </c>
      <c r="I5" s="1049" t="s">
        <v>880</v>
      </c>
      <c r="J5" s="1049" t="s">
        <v>880</v>
      </c>
      <c r="K5" s="1049" t="s">
        <v>880</v>
      </c>
      <c r="L5" s="1049" t="s">
        <v>880</v>
      </c>
      <c r="M5" s="1049" t="s">
        <v>880</v>
      </c>
      <c r="N5" s="1049" t="s">
        <v>880</v>
      </c>
      <c r="O5" s="1049" t="s">
        <v>880</v>
      </c>
      <c r="P5" s="1050" t="s">
        <v>936</v>
      </c>
    </row>
    <row r="6" spans="1:16" ht="135">
      <c r="A6" s="1051" t="s">
        <v>251</v>
      </c>
      <c r="B6" s="1048" t="s">
        <v>935</v>
      </c>
      <c r="C6" s="1049" t="s">
        <v>880</v>
      </c>
      <c r="D6" s="1049" t="s">
        <v>880</v>
      </c>
      <c r="E6" s="1049" t="s">
        <v>880</v>
      </c>
      <c r="F6" s="1049" t="s">
        <v>880</v>
      </c>
      <c r="G6" s="1049" t="s">
        <v>880</v>
      </c>
      <c r="H6" s="1049" t="s">
        <v>880</v>
      </c>
      <c r="I6" s="1049" t="s">
        <v>880</v>
      </c>
      <c r="J6" s="1049" t="s">
        <v>880</v>
      </c>
      <c r="K6" s="1049" t="s">
        <v>880</v>
      </c>
      <c r="L6" s="1049" t="s">
        <v>880</v>
      </c>
      <c r="M6" s="1049" t="s">
        <v>880</v>
      </c>
      <c r="N6" s="1049" t="s">
        <v>880</v>
      </c>
      <c r="O6" s="1049" t="s">
        <v>880</v>
      </c>
      <c r="P6" s="1050" t="s">
        <v>936</v>
      </c>
    </row>
    <row r="7" spans="1:16" ht="135">
      <c r="A7" s="1051" t="s">
        <v>911</v>
      </c>
      <c r="B7" s="1049" t="s">
        <v>880</v>
      </c>
      <c r="C7" s="1049" t="s">
        <v>880</v>
      </c>
      <c r="D7" s="1049" t="s">
        <v>880</v>
      </c>
      <c r="E7" s="1049" t="s">
        <v>880</v>
      </c>
      <c r="F7" s="1049" t="s">
        <v>880</v>
      </c>
      <c r="G7" s="1049" t="s">
        <v>880</v>
      </c>
      <c r="H7" s="1049" t="s">
        <v>880</v>
      </c>
      <c r="I7" s="1049" t="s">
        <v>880</v>
      </c>
      <c r="J7" s="1049" t="s">
        <v>880</v>
      </c>
      <c r="K7" s="1049" t="s">
        <v>880</v>
      </c>
      <c r="L7" s="1049" t="s">
        <v>880</v>
      </c>
      <c r="M7" s="1049" t="s">
        <v>880</v>
      </c>
      <c r="N7" s="1049" t="s">
        <v>880</v>
      </c>
      <c r="O7" s="1049" t="s">
        <v>880</v>
      </c>
      <c r="P7" s="1050" t="s">
        <v>936</v>
      </c>
    </row>
    <row r="8" spans="1:16" ht="210">
      <c r="A8" s="1047" t="s">
        <v>252</v>
      </c>
      <c r="B8" s="1048" t="s">
        <v>937</v>
      </c>
      <c r="C8" s="1048" t="s">
        <v>937</v>
      </c>
      <c r="D8" s="1048" t="s">
        <v>937</v>
      </c>
      <c r="E8" s="1048" t="s">
        <v>937</v>
      </c>
      <c r="F8" s="1048" t="s">
        <v>937</v>
      </c>
      <c r="G8" s="1048" t="s">
        <v>937</v>
      </c>
      <c r="H8" s="1048" t="s">
        <v>937</v>
      </c>
      <c r="I8" s="1048" t="s">
        <v>937</v>
      </c>
      <c r="J8" s="1048" t="s">
        <v>937</v>
      </c>
      <c r="K8" s="1049" t="s">
        <v>880</v>
      </c>
      <c r="L8" s="1049" t="s">
        <v>880</v>
      </c>
      <c r="M8" s="1049" t="s">
        <v>880</v>
      </c>
      <c r="N8" s="1048" t="s">
        <v>938</v>
      </c>
      <c r="O8" s="1048" t="s">
        <v>938</v>
      </c>
      <c r="P8" s="1052"/>
    </row>
    <row r="9" spans="1:16" ht="210">
      <c r="A9" s="1053" t="s">
        <v>926</v>
      </c>
      <c r="B9" s="1048" t="s">
        <v>938</v>
      </c>
      <c r="C9" s="1048" t="s">
        <v>938</v>
      </c>
      <c r="D9" s="1048" t="s">
        <v>938</v>
      </c>
      <c r="E9" s="1048" t="s">
        <v>938</v>
      </c>
      <c r="F9" s="1048" t="s">
        <v>938</v>
      </c>
      <c r="G9" s="1048" t="s">
        <v>938</v>
      </c>
      <c r="H9" s="1048" t="s">
        <v>938</v>
      </c>
      <c r="I9" s="1048" t="s">
        <v>938</v>
      </c>
      <c r="J9" s="1048" t="s">
        <v>938</v>
      </c>
      <c r="K9" s="1049" t="s">
        <v>880</v>
      </c>
      <c r="L9" s="1048" t="s">
        <v>938</v>
      </c>
      <c r="M9" s="1048" t="s">
        <v>938</v>
      </c>
      <c r="N9" s="1048" t="s">
        <v>938</v>
      </c>
      <c r="O9" s="1048" t="s">
        <v>938</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927</v>
      </c>
      <c r="B12" s="778" t="s">
        <v>928</v>
      </c>
      <c r="C12" s="1055" t="s">
        <v>939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929</v>
      </c>
    </row>
    <row r="15" spans="1:16">
      <c r="A15" s="1169"/>
      <c r="B15" s="1170"/>
      <c r="C15" s="1170"/>
      <c r="D15" s="1172" t="s">
        <v>197</v>
      </c>
      <c r="E15" s="1172"/>
      <c r="F15" s="1172"/>
      <c r="G15" s="1172"/>
      <c r="H15" s="1172"/>
      <c r="I15" s="1170" t="s">
        <v>921</v>
      </c>
      <c r="J15" s="1170" t="s">
        <v>234</v>
      </c>
      <c r="K15" s="1170" t="s">
        <v>922</v>
      </c>
      <c r="L15" s="1170" t="s">
        <v>911</v>
      </c>
      <c r="M15" s="1170" t="s">
        <v>245</v>
      </c>
      <c r="N15" s="1170" t="s">
        <v>930</v>
      </c>
      <c r="O15" s="1170" t="s">
        <v>127</v>
      </c>
      <c r="P15" s="1170"/>
    </row>
    <row r="16" spans="1:16" ht="30">
      <c r="A16" s="1169"/>
      <c r="B16" s="1035" t="s">
        <v>931</v>
      </c>
      <c r="C16" s="1035" t="s">
        <v>932</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938</v>
      </c>
      <c r="C17" s="1048" t="s">
        <v>938</v>
      </c>
      <c r="D17" s="1048" t="s">
        <v>938</v>
      </c>
      <c r="E17" s="1048" t="s">
        <v>938</v>
      </c>
      <c r="F17" s="1048" t="s">
        <v>938</v>
      </c>
      <c r="G17" s="1048" t="s">
        <v>938</v>
      </c>
      <c r="H17" s="1048" t="s">
        <v>938</v>
      </c>
      <c r="I17" s="1048" t="s">
        <v>938</v>
      </c>
      <c r="J17" s="1048" t="s">
        <v>938</v>
      </c>
      <c r="K17" s="1049" t="s">
        <v>880</v>
      </c>
      <c r="L17" s="1049" t="s">
        <v>880</v>
      </c>
      <c r="M17" s="1049" t="s">
        <v>880</v>
      </c>
      <c r="N17" s="1048" t="s">
        <v>938</v>
      </c>
      <c r="O17" s="1048" t="s">
        <v>938</v>
      </c>
      <c r="P17" s="1056"/>
    </row>
    <row r="18" spans="1:16" ht="45">
      <c r="A18" s="1045" t="s">
        <v>258</v>
      </c>
      <c r="B18" s="1050" t="s">
        <v>903</v>
      </c>
      <c r="C18" s="1050" t="s">
        <v>903</v>
      </c>
      <c r="D18" s="1050" t="s">
        <v>903</v>
      </c>
      <c r="E18" s="1050" t="s">
        <v>903</v>
      </c>
      <c r="F18" s="1050" t="s">
        <v>903</v>
      </c>
      <c r="G18" s="1050" t="s">
        <v>903</v>
      </c>
      <c r="H18" s="1050" t="s">
        <v>903</v>
      </c>
      <c r="I18" s="1050" t="s">
        <v>903</v>
      </c>
      <c r="J18" s="1050" t="s">
        <v>903</v>
      </c>
      <c r="K18" s="1050" t="s">
        <v>903</v>
      </c>
      <c r="L18" s="1050" t="s">
        <v>903</v>
      </c>
      <c r="M18" s="1050" t="s">
        <v>903</v>
      </c>
      <c r="N18" s="1050" t="s">
        <v>903</v>
      </c>
      <c r="O18" s="1050" t="s">
        <v>903</v>
      </c>
      <c r="P18" s="1050" t="s">
        <v>903</v>
      </c>
    </row>
    <row r="19" spans="1:16" ht="45">
      <c r="A19" s="1040" t="s">
        <v>933</v>
      </c>
      <c r="B19" s="1050" t="s">
        <v>903</v>
      </c>
      <c r="C19" s="1050" t="s">
        <v>903</v>
      </c>
      <c r="D19" s="1050" t="s">
        <v>903</v>
      </c>
      <c r="E19" s="1050" t="s">
        <v>903</v>
      </c>
      <c r="F19" s="1050" t="s">
        <v>903</v>
      </c>
      <c r="G19" s="1050" t="s">
        <v>903</v>
      </c>
      <c r="H19" s="1050" t="s">
        <v>903</v>
      </c>
      <c r="I19" s="1050" t="s">
        <v>903</v>
      </c>
      <c r="J19" s="1050" t="s">
        <v>903</v>
      </c>
      <c r="K19" s="1050" t="s">
        <v>903</v>
      </c>
      <c r="L19" s="1050" t="s">
        <v>903</v>
      </c>
      <c r="M19" s="1050" t="s">
        <v>903</v>
      </c>
      <c r="N19" s="1050" t="s">
        <v>903</v>
      </c>
      <c r="O19" s="1050" t="s">
        <v>903</v>
      </c>
      <c r="P19" s="1050" t="s">
        <v>903</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934</v>
      </c>
      <c r="B22" s="778" t="s">
        <v>928</v>
      </c>
      <c r="C22" s="1055" t="s">
        <v>940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598</v>
      </c>
      <c r="B6" s="76" t="s">
        <v>599</v>
      </c>
      <c r="C6" s="444" t="s">
        <v>582</v>
      </c>
    </row>
    <row r="7" spans="1:3">
      <c r="A7" s="126"/>
      <c r="B7" s="130"/>
      <c r="C7" s="123"/>
    </row>
    <row r="8" spans="1:3">
      <c r="A8" s="114" t="s">
        <v>601</v>
      </c>
      <c r="B8" s="76" t="s">
        <v>600</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635</v>
      </c>
    </row>
    <row r="13" spans="1:3">
      <c r="A13" s="142"/>
      <c r="B13" s="125"/>
      <c r="C13" s="304"/>
    </row>
    <row r="14" spans="1:3" s="12" customFormat="1">
      <c r="A14" s="114" t="s">
        <v>618</v>
      </c>
      <c r="B14" s="131" t="s">
        <v>619</v>
      </c>
      <c r="C14" s="132" t="s">
        <v>620</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630</v>
      </c>
      <c r="B4" s="476"/>
      <c r="C4" s="476"/>
      <c r="D4" s="476"/>
      <c r="E4" s="476"/>
      <c r="F4" s="476"/>
      <c r="G4" s="508"/>
      <c r="H4" s="508"/>
      <c r="I4" s="476"/>
      <c r="J4" s="476"/>
      <c r="K4" s="476"/>
      <c r="L4" s="476"/>
      <c r="M4" s="476"/>
      <c r="N4" s="476"/>
      <c r="O4" s="476"/>
      <c r="P4" s="476"/>
    </row>
    <row r="5" spans="1:16" outlineLevel="1">
      <c r="A5" s="683" t="s">
        <v>631</v>
      </c>
      <c r="B5" s="476"/>
      <c r="C5" s="476"/>
      <c r="D5" s="476"/>
      <c r="E5" s="476"/>
      <c r="F5" s="476"/>
      <c r="G5" s="508"/>
      <c r="H5" s="508"/>
      <c r="I5" s="476"/>
      <c r="J5" s="476"/>
      <c r="K5" s="476"/>
      <c r="L5" s="476"/>
      <c r="M5" s="476"/>
      <c r="N5" s="476"/>
      <c r="O5" s="476"/>
      <c r="P5" s="476"/>
    </row>
    <row r="6" spans="1:16" outlineLevel="1">
      <c r="A6" s="683" t="s">
        <v>632</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633</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634</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596</v>
      </c>
      <c r="B13" s="461"/>
      <c r="C13" s="480"/>
      <c r="D13" s="480"/>
      <c r="E13" s="480"/>
      <c r="F13" s="480"/>
      <c r="G13" s="480"/>
      <c r="H13" s="480"/>
      <c r="I13" s="480"/>
      <c r="J13" s="480"/>
      <c r="K13" s="480"/>
      <c r="L13" s="480"/>
      <c r="M13" s="480"/>
      <c r="N13" s="480"/>
      <c r="O13" s="779" t="s">
        <v>656</v>
      </c>
      <c r="P13" s="779" t="s">
        <v>655</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623</v>
      </c>
      <c r="B17" s="510">
        <f ca="1">'EF ele_warmte'!B12</f>
        <v>0.20253453484573741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744</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642</v>
      </c>
      <c r="B27" s="787">
        <f>B24*B25*B26</f>
        <v>0</v>
      </c>
      <c r="C27" s="501" t="s">
        <v>643</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642</v>
      </c>
      <c r="B35" s="786">
        <f>B31*B32*B33/1000-B31*B32*B33/1000/B34</f>
        <v>0</v>
      </c>
      <c r="C35" s="507" t="s">
        <v>643</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2019-08-12T07:56:14Z</dcterms:modified>
</cp:coreProperties>
</file>