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I20" s="1"/>
  <c r="J8"/>
  <c r="J10" s="1"/>
  <c r="J17"/>
  <c r="J20" s="1"/>
  <c r="B19" i="6"/>
  <c r="B18"/>
  <c r="B5"/>
  <c r="C29" i="14" s="1"/>
  <c r="B6" i="6"/>
  <c r="C64" i="14" s="1"/>
  <c r="B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J19"/>
  <c r="I19"/>
  <c r="G19"/>
  <c r="F19"/>
  <c r="E19"/>
  <c r="D19"/>
  <c r="D22" s="1"/>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L26"/>
  <c r="H26"/>
  <c r="O22"/>
  <c r="G22"/>
  <c r="R12"/>
  <c r="F13" i="15"/>
  <c r="D13"/>
  <c r="C13"/>
  <c r="Q14" i="48" l="1"/>
  <c r="I10" i="18"/>
  <c r="I76" i="14"/>
  <c r="I8" i="56" s="1"/>
  <c r="I10" s="1"/>
  <c r="N78" i="14"/>
  <c r="N8" i="56"/>
  <c r="N10" s="1"/>
  <c r="Q87" i="14"/>
  <c r="P17" i="56" s="1"/>
  <c r="D17"/>
  <c r="K78" i="14"/>
  <c r="K8" i="56"/>
  <c r="K10" s="1"/>
  <c r="O78" i="14"/>
  <c r="O9" i="56"/>
  <c r="O10" s="1"/>
  <c r="L90" i="14"/>
  <c r="L17" i="56"/>
  <c r="L20" s="1"/>
  <c r="G90" i="14"/>
  <c r="G18" i="56"/>
  <c r="O90" i="14"/>
  <c r="O18" i="56"/>
  <c r="K20"/>
  <c r="L78" i="14"/>
  <c r="J76"/>
  <c r="B76" s="1"/>
  <c r="N20" i="56"/>
  <c r="E8"/>
  <c r="E10" s="1"/>
  <c r="M78" i="14"/>
  <c r="M8" i="56"/>
  <c r="M10" s="1"/>
  <c r="C77" i="14"/>
  <c r="C9" i="56" s="1"/>
  <c r="D9"/>
  <c r="D10" s="1"/>
  <c r="Q88" i="14"/>
  <c r="P18" i="56" s="1"/>
  <c r="D18"/>
  <c r="F90" i="14"/>
  <c r="M20" i="56"/>
  <c r="G78" i="14"/>
  <c r="Q89"/>
  <c r="P19" i="56" s="1"/>
  <c r="I20"/>
  <c r="Q76" i="14"/>
  <c r="P8" i="56" s="1"/>
  <c r="L10"/>
  <c r="H20"/>
  <c r="H78" i="14"/>
  <c r="H9" i="56"/>
  <c r="H10" s="1"/>
  <c r="K90" i="14"/>
  <c r="K18" i="56"/>
  <c r="F78" i="14"/>
  <c r="G10" i="56"/>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B8" i="56" l="1"/>
  <c r="B10" s="1"/>
  <c r="B78" i="14"/>
  <c r="Q90"/>
  <c r="B17" i="6" s="1"/>
  <c r="Q78" i="14"/>
  <c r="B9" i="6" s="1"/>
  <c r="P9" i="56"/>
  <c r="P10" s="1"/>
  <c r="J8"/>
  <c r="J10" s="1"/>
  <c r="J78" i="14"/>
  <c r="J90"/>
  <c r="J17" i="56"/>
  <c r="J20" s="1"/>
  <c r="C20"/>
  <c r="P20"/>
  <c r="C76" i="14"/>
  <c r="D20" i="56"/>
  <c r="C90" i="14"/>
  <c r="B87"/>
  <c r="B90" l="1"/>
  <c r="B17" i="56"/>
  <c r="B20" s="1"/>
  <c r="C8"/>
  <c r="C10" s="1"/>
  <c r="C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30"/>
  <c r="J24"/>
  <c r="J27"/>
  <c r="J31"/>
  <c r="J28"/>
  <c r="O4"/>
  <c r="P11" i="14"/>
  <c r="D11"/>
  <c r="C4" i="48"/>
  <c r="G32"/>
  <c r="G25"/>
  <c r="G26"/>
  <c r="G30"/>
  <c r="G29"/>
  <c r="G24"/>
  <c r="G22"/>
  <c r="G23"/>
  <c r="D4"/>
  <c r="D22" s="1"/>
  <c r="E11" i="14"/>
  <c r="C11"/>
  <c r="B4" i="48"/>
  <c r="N24"/>
  <c r="N27"/>
  <c r="N28"/>
  <c r="N32"/>
  <c r="N31"/>
  <c r="N30"/>
  <c r="N29"/>
  <c r="C19" i="14"/>
  <c r="B10" i="48"/>
  <c r="E32"/>
  <c r="E28"/>
  <c r="E30"/>
  <c r="E31"/>
  <c r="E24"/>
  <c r="E29"/>
  <c r="M12" i="13"/>
  <c r="N41" i="14" s="1"/>
  <c r="M17" i="48"/>
  <c r="K25"/>
  <c r="K32"/>
  <c r="K27"/>
  <c r="K31"/>
  <c r="K26"/>
  <c r="K30"/>
  <c r="K29"/>
  <c r="K24"/>
  <c r="K28"/>
  <c r="K22"/>
  <c r="P4"/>
  <c r="Q11" i="14"/>
  <c r="B7" i="48"/>
  <c r="C24" i="14"/>
  <c r="C26" s="1"/>
  <c r="I25" i="48"/>
  <c r="I26"/>
  <c r="I31"/>
  <c r="I29"/>
  <c r="I32"/>
  <c r="I22"/>
  <c r="I28"/>
  <c r="I30"/>
  <c r="I24"/>
  <c r="I27"/>
  <c r="H25"/>
  <c r="H26"/>
  <c r="H32"/>
  <c r="H29"/>
  <c r="H24"/>
  <c r="H22"/>
  <c r="H28"/>
  <c r="H30"/>
  <c r="H23"/>
  <c r="F27"/>
  <c r="F30"/>
  <c r="F28"/>
  <c r="F24"/>
  <c r="F32"/>
  <c r="F29"/>
  <c r="F31"/>
  <c r="L10" i="14"/>
  <c r="L16" s="1"/>
  <c r="L27" s="1"/>
  <c r="K5" i="48"/>
  <c r="D30"/>
  <c r="D28"/>
  <c r="D31"/>
  <c r="D24"/>
  <c r="D32"/>
  <c r="D29"/>
  <c r="L32"/>
  <c r="L31"/>
  <c r="L28"/>
  <c r="L27"/>
  <c r="L24"/>
  <c r="L22"/>
  <c r="L29"/>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I23"/>
  <c r="I15"/>
  <c r="F4"/>
  <c r="F22" s="1"/>
  <c r="G11" i="14"/>
  <c r="I18"/>
  <c r="H13" i="48"/>
  <c r="H31" s="1"/>
  <c r="P8"/>
  <c r="P26" s="1"/>
  <c r="Q13" i="14"/>
  <c r="M22" i="48"/>
  <c r="M32"/>
  <c r="M29"/>
  <c r="M24"/>
  <c r="M25"/>
  <c r="M26"/>
  <c r="M30"/>
  <c r="M23"/>
  <c r="H18" i="14"/>
  <c r="G13" i="48"/>
  <c r="N18" i="14"/>
  <c r="M13" i="48"/>
  <c r="M31" s="1"/>
  <c r="I33"/>
  <c r="J12" i="17"/>
  <c r="K54" i="14" s="1"/>
  <c r="K56" s="1"/>
  <c r="J7" i="48"/>
  <c r="J25" s="1"/>
  <c r="K24" i="14"/>
  <c r="K26" s="1"/>
  <c r="K15" i="48"/>
  <c r="K23"/>
  <c r="L63" i="14"/>
  <c r="J46"/>
  <c r="J61" s="1"/>
  <c r="Q16"/>
  <c r="Q27" s="1"/>
  <c r="K33" i="48"/>
  <c r="O5"/>
  <c r="O23" s="1"/>
  <c r="P10" i="14"/>
  <c r="P15" i="48"/>
  <c r="P22"/>
  <c r="P33" s="1"/>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B47" s="1"/>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E12" i="13"/>
  <c r="F41" i="14" s="1"/>
  <c r="E4" i="48"/>
  <c r="F11" i="14"/>
  <c r="H19"/>
  <c r="R19" s="1"/>
  <c r="G10" i="48"/>
  <c r="K11" i="14"/>
  <c r="J4" i="48"/>
  <c r="N20" i="14"/>
  <c r="M9" i="48"/>
  <c r="E7"/>
  <c r="E25" s="1"/>
  <c r="F24" i="14"/>
  <c r="F26" s="1"/>
  <c r="F20"/>
  <c r="F22" s="1"/>
  <c r="E9" i="48"/>
  <c r="E27" s="1"/>
  <c r="P13" i="14"/>
  <c r="O8" i="48"/>
  <c r="N22" i="14"/>
  <c r="N27" s="1"/>
  <c r="E12" i="17"/>
  <c r="F54" i="14" s="1"/>
  <c r="F56" s="1"/>
  <c r="H14" i="22"/>
  <c r="H18" s="1"/>
  <c r="I50" i="14" s="1"/>
  <c r="I52" s="1"/>
  <c r="I61" s="1"/>
  <c r="D16"/>
  <c r="N19"/>
  <c r="M10" i="48"/>
  <c r="M28" s="1"/>
  <c r="D9"/>
  <c r="D27" s="1"/>
  <c r="E20" i="14"/>
  <c r="E22" s="1"/>
  <c r="R18"/>
  <c r="B9" i="48"/>
  <c r="C20" i="14"/>
  <c r="G31" i="48"/>
  <c r="Q13"/>
  <c r="D18" i="22"/>
  <c r="E50" i="14" s="1"/>
  <c r="E52" s="1"/>
  <c r="Q46"/>
  <c r="Q61" s="1"/>
  <c r="Q63" s="1"/>
  <c r="P16"/>
  <c r="P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63" l="1"/>
  <c r="O26" i="48"/>
  <c r="O33" s="1"/>
  <c r="O15"/>
  <c r="J22"/>
  <c r="H20" i="14"/>
  <c r="H22" s="1"/>
  <c r="H27" s="1"/>
  <c r="G9" i="48"/>
  <c r="J5"/>
  <c r="J23" s="1"/>
  <c r="K10" i="14"/>
  <c r="M27" i="48"/>
  <c r="M33" s="1"/>
  <c r="M15"/>
  <c r="N63" i="14"/>
  <c r="I20"/>
  <c r="I22" s="1"/>
  <c r="I27" s="1"/>
  <c r="H9" i="48"/>
  <c r="E22"/>
  <c r="Q4"/>
  <c r="E5"/>
  <c r="E23" s="1"/>
  <c r="F10" i="14"/>
  <c r="R11"/>
  <c r="R20"/>
  <c r="R22" s="1"/>
  <c r="C22"/>
  <c r="G28" i="48"/>
  <c r="Q10"/>
  <c r="G18" i="22"/>
  <c r="H50" i="14" s="1"/>
  <c r="H52" s="1"/>
  <c r="H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G27"/>
  <c r="G33" s="1"/>
  <c r="G15"/>
  <c r="E8"/>
  <c r="F13" i="14"/>
  <c r="F16" s="1"/>
  <c r="F27" s="1"/>
  <c r="F63" s="1"/>
  <c r="K13"/>
  <c r="K16" s="1"/>
  <c r="K27" s="1"/>
  <c r="J8" i="48"/>
  <c r="J26" s="1"/>
  <c r="J33" s="1"/>
  <c r="R10" i="14"/>
  <c r="Q9" i="48"/>
  <c r="C27" i="14"/>
  <c r="B3" i="6" s="1"/>
  <c r="B12" s="1"/>
  <c r="C12" i="56" s="1"/>
  <c r="H63" i="14"/>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15" i="48"/>
  <c r="C55" i="14"/>
  <c r="R55" s="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<sst xmlns="http://schemas.openxmlformats.org/spreadsheetml/2006/main" count="2522" uniqueCount="968">
  <si>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</si>
  <si>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</si>
  <si>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</si>
  <si>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</si>
  <si>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</si>
  <si>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</si>
  <si>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</si>
  <si>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</si>
  <si>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</si>
  <si>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</si>
  <si>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</si>
  <si>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</si>
  <si>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</si>
  <si>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</si>
  <si>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</si>
  <si>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</si>
  <si>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</si>
  <si>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</si>
  <si>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</si>
  <si>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</si>
  <si>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</si>
  <si>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</si>
  <si>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</si>
  <si>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</si>
  <si>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</si>
  <si>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</si>
  <si>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</si>
  <si>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</si>
  <si>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</si>
  <si>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</si>
  <si>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</si>
  <si>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</si>
  <si>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</si>
  <si>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</si>
  <si>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</si>
  <si>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</si>
  <si>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</si>
  <si>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</si>
  <si>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</si>
  <si>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</si>
  <si>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</si>
  <si>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</si>
  <si>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</si>
  <si>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</si>
  <si>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</si>
  <si>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</si>
  <si>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</si>
  <si>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</si>
  <si>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</si>
  <si>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</si>
  <si>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</si>
  <si>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</si>
  <si>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</si>
  <si>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</si>
  <si>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</si>
  <si>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</si>
  <si>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</si>
  <si>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</si>
  <si>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</si>
  <si>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</si>
  <si>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</si>
  <si>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</si>
  <si>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</si>
  <si>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</si>
  <si>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</si>
  <si>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</si>
  <si>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</si>
  <si>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</si>
  <si>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</si>
  <si>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</si>
  <si>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</si>
  <si>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</si>
  <si>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</si>
  <si>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</si>
  <si>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</si>
  <si>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</si>
  <si>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</si>
  <si>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</si>
  <si>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</si>
  <si>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</si>
  <si>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</si>
  <si>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</si>
  <si>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</si>
  <si>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</si>
  <si>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</si>
  <si>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</si>
  <si>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</si>
  <si>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</si>
  <si>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</si>
  <si>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</si>
  <si>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</si>
  <si>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</si>
  <si>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</si>
  <si>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</si>
  <si>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</si>
  <si>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</si>
  <si>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</si>
  <si>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</si>
  <si>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</si>
  <si>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</si>
  <si>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</si>
  <si>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</si>
  <si>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</si>
  <si>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</si>
  <si>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</si>
  <si>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</si>
  <si>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</si>
  <si>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</si>
  <si>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</si>
  <si>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</si>
  <si>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</si>
  <si>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</si>
  <si>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</si>
  <si>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</si>
  <si>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</si>
  <si>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</si>
  <si>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</si>
  <si>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</si>
  <si>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</si>
  <si>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</si>
  <si>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</si>
  <si>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</si>
  <si>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</si>
  <si>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</si>
  <si>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</si>
  <si>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</si>
  <si>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</si>
  <si>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</si>
  <si>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</si>
  <si>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</si>
  <si>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</si>
  <si>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</si>
  <si>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</si>
  <si>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</si>
  <si>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</si>
  <si>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</si>
  <si>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</si>
  <si>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</si>
  <si>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</si>
  <si>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</si>
  <si>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</si>
  <si>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</si>
  <si>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</si>
  <si>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</si>
  <si>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</si>
  <si>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</si>
  <si>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</si>
  <si>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</si>
  <si>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</si>
  <si>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</si>
  <si>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</si>
  <si>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</si>
  <si>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</si>
  <si>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</si>
  <si>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</si>
  <si>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</si>
  <si>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</si>
  <si>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</si>
  <si>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</si>
  <si>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</si>
  <si>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</si>
  <si>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</si>
  <si>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</si>
  <si>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</si>
  <si>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</si>
  <si>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</si>
  <si>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</si>
  <si>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</si>
  <si>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</si>
  <si>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</si>
  <si>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</si>
  <si>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</si>
  <si>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</si>
  <si>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</si>
  <si>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</si>
  <si>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</si>
  <si>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</si>
  <si>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</si>
  <si>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</si>
  <si>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</si>
  <si>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</si>
  <si>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</si>
  <si>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</si>
  <si>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</si>
  <si>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</si>
  <si>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</si>
  <si>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</si>
  <si>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</si>
  <si>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</si>
  <si>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</si>
  <si>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</si>
  <si>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</si>
  <si>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</si>
  <si>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</si>
  <si>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</si>
  <si>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</si>
  <si>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</si>
  <si>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</si>
  <si>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</si>
  <si>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</si>
  <si>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</si>
  <si>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</si>
  <si>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</si>
  <si>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</si>
  <si>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</si>
  <si>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</si>
  <si>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</si>
  <si>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</si>
  <si>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</si>
  <si>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</si>
  <si>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</si>
  <si>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</si>
  <si>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</si>
  <si>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</si>
  <si>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</si>
  <si>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</si>
  <si>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</si>
  <si>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</si>
  <si>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</si>
  <si>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</si>
  <si>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</si>
  <si>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</si>
  <si>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</si>
  <si>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</si>
  <si>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</si>
  <si>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</si>
  <si>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</si>
  <si>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</si>
  <si>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</si>
  <si>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</si>
  <si>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</si>
  <si>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</si>
  <si>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</si>
  <si>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</si>
  <si>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</si>
  <si>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</si>
  <si>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</si>
  <si>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</si>
  <si>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</si>
  <si>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</si>
  <si>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</si>
  <si>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</si>
  <si>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</si>
  <si>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</si>
  <si>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</si>
  <si>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</si>
  <si>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</si>
  <si>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</si>
  <si>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</si>
  <si>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</si>
  <si>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</si>
  <si>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</si>
  <si>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</si>
  <si>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</si>
  <si>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</si>
  <si>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</si>
  <si>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</si>
  <si>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</si>
  <si>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</si>
  <si>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</si>
  <si>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</si>
  <si>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</si>
  <si>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</si>
  <si>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</si>
  <si>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</si>
  <si>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</si>
  <si>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</si>
  <si>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</si>
  <si>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</si>
  <si>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</si>
  <si>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</si>
  <si>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</si>
  <si>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</si>
  <si>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</si>
  <si>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</si>
  <si>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</si>
  <si>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</si>
  <si>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</si>
  <si>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</si>
  <si>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</si>
  <si>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</si>
  <si>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</si>
  <si>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</si>
  <si>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</si>
  <si>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</si>
  <si>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</si>
  <si>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</si>
  <si>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</si>
  <si>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</si>
  <si>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</si>
  <si>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</si>
  <si>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</si>
  <si>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</si>
  <si>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</si>
  <si>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</si>
  <si>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</si>
  <si>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</si>
  <si>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</si>
  <si>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</si>
  <si>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</si>
  <si>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</si>
  <si>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</si>
  <si>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</si>
  <si>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</si>
  <si>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</si>
  <si>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</si>
  <si>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</si>
  <si>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</si>
  <si>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</si>
  <si>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</si>
  <si>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</si>
  <si>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</si>
  <si>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</si>
  <si>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</si>
  <si>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</si>
  <si>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</si>
  <si>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</si>
  <si>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</si>
  <si>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</si>
  <si>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</si>
  <si>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</si>
  <si>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</si>
  <si>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</si>
  <si>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</si>
  <si>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</si>
  <si>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</si>
  <si>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</si>
  <si>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</si>
  <si>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</si>
  <si>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</si>
  <si>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</si>
  <si>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</si>
  <si>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</si>
  <si>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</si>
  <si>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</si>
  <si>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</si>
  <si>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</si>
  <si>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</si>
  <si>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</si>
  <si>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</si>
  <si>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</si>
  <si>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</si>
  <si>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</si>
  <si>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</si>
  <si>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</si>
  <si>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</si>
  <si>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</si>
  <si>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</si>
  <si>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</si>
  <si>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</si>
  <si>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</si>
  <si>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</si>
  <si>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</si>
  <si>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</si>
  <si>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</si>
  <si>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</si>
  <si>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</si>
  <si>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</si>
  <si>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</si>
  <si>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</si>
  <si>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</si>
  <si>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</si>
  <si>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</si>
  <si>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</si>
  <si>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</si>
  <si>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</si>
  <si>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</si>
  <si>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</si>
  <si>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</si>
  <si>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</si>
  <si>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</si>
  <si>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</si>
  <si>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</si>
  <si>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</si>
  <si>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</si>
  <si>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</si>
  <si>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</si>
  <si>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</si>
  <si>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</si>
  <si>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</si>
  <si>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</si>
  <si>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</si>
  <si>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</si>
  <si>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</si>
  <si>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</si>
  <si>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</si>
  <si>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</si>
  <si>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</si>
  <si>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</si>
  <si>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</si>
  <si>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</si>
  <si>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</si>
  <si>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</si>
  <si>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</si>
  <si>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</si>
  <si>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</si>
  <si>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</si>
  <si>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</si>
  <si>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</si>
  <si>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</si>
  <si>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</si>
  <si>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</si>
  <si>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</si>
  <si>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</si>
  <si>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</si>
  <si>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</si>
  <si>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</si>
  <si>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</si>
  <si>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</si>
  <si>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</si>
  <si>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</si>
  <si>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</si>
  <si>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</si>
  <si>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</si>
  <si>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</si>
  <si>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</si>
  <si>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</si>
  <si>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</si>
  <si>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</si>
  <si>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</si>
  <si>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</si>
  <si>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</si>
  <si>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</si>
  <si>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</si>
  <si>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</si>
  <si>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</si>
  <si>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</si>
  <si>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</si>
  <si>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</si>
  <si>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</si>
  <si>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</si>
  <si>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</si>
  <si>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</si>
  <si>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</si>
  <si>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</si>
  <si>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</si>
  <si>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</si>
  <si>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</si>
  <si>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</si>
  <si>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</si>
  <si>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</si>
  <si>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</si>
  <si>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</si>
  <si>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</si>
  <si>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</si>
  <si>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</si>
  <si>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</si>
  <si>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</si>
  <si>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</si>
  <si>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</si>
  <si>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</si>
  <si>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</si>
  <si>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</si>
  <si>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</si>
  <si>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</si>
  <si>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</si>
  <si>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</si>
  <si>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</si>
  <si>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</si>
  <si>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</si>
  <si>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</si>
  <si>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</si>
  <si>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</si>
  <si>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</si>
  <si>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</si>
  <si>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</si>
  <si>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</si>
  <si>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</si>
  <si>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</si>
  <si>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</si>
  <si>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</si>
  <si>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</si>
  <si>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</si>
  <si>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</si>
  <si>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</si>
  <si>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</si>
  <si>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</si>
  <si>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</si>
  <si>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</si>
  <si>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</si>
  <si>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</si>
  <si>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</si>
  <si>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</si>
  <si>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</si>
  <si>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</si>
  <si>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</si>
  <si>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</si>
  <si>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</si>
  <si>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</si>
  <si>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</si>
  <si>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</si>
  <si>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</si>
  <si>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</si>
  <si>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</si>
  <si>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</si>
  <si>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</si>
  <si>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</si>
  <si>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</si>
  <si>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</si>
  <si>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</si>
  <si>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</si>
  <si>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</si>
  <si>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</si>
  <si>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</si>
  <si>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</si>
  <si>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</si>
  <si>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</si>
  <si>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</si>
  <si>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</si>
  <si>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</si>
  <si>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</si>
  <si>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</si>
  <si>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</si>
  <si>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</si>
  <si>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</si>
  <si>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</si>
  <si>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</si>
  <si>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</si>
  <si>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</si>
  <si>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</si>
  <si>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</si>
  <si>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</si>
  <si>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</si>
  <si>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</si>
  <si>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</si>
  <si>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</si>
  <si>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</si>
  <si>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</si>
  <si>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</si>
  <si>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</si>
  <si>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</si>
  <si>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</si>
  <si>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</si>
  <si>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</si>
  <si>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</si>
  <si>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</si>
  <si>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</si>
  <si>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</si>
  <si>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</si>
  <si>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</si>
  <si>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</si>
  <si>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</si>
  <si>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</si>
  <si>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</si>
  <si>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</si>
  <si>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</si>
  <si>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</si>
  <si>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</si>
  <si>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</si>
  <si>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</si>
  <si>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</si>
  <si>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</si>
  <si>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</si>
  <si>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</si>
  <si>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</si>
  <si>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</si>
  <si>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</si>
  <si>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</si>
  <si>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</si>
  <si>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</si>
  <si>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</si>
  <si>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</si>
  <si>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</si>
  <si>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</si>
  <si>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</si>
  <si>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</si>
  <si>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</si>
  <si>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</si>
  <si>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</si>
  <si>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</si>
  <si>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</si>
  <si>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</si>
  <si>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</si>
  <si>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</si>
  <si>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</si>
  <si>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</si>
  <si>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</si>
  <si>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</si>
  <si>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</si>
  <si>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</si>
  <si>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</si>
  <si>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</si>
  <si>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</si>
  <si>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</si>
  <si>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</si>
  <si>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</si>
  <si>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</si>
  <si>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</si>
  <si>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</si>
  <si>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</si>
  <si>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</si>
  <si>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</si>
  <si>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</si>
  <si>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</si>
  <si>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</si>
  <si>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</si>
  <si>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</si>
  <si>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</si>
  <si>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</si>
  <si>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</si>
  <si>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</si>
  <si>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</si>
  <si>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</si>
  <si>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</si>
  <si>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</si>
  <si>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</si>
  <si>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</si>
  <si>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</si>
  <si>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</si>
  <si>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</si>
  <si>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</si>
  <si>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</si>
  <si>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</si>
  <si>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</si>
  <si>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</si>
  <si>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</si>
  <si>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</si>
  <si>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</si>
  <si>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</si>
  <si>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</si>
  <si>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</si>
  <si>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</si>
  <si>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</si>
  <si>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</si>
  <si>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</si>
  <si>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</si>
  <si>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</si>
  <si>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</si>
  <si>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</si>
  <si>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</si>
  <si>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</si>
  <si>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</si>
  <si>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</si>
  <si>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</si>
  <si>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</si>
  <si>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</si>
  <si>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</si>
  <si>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</si>
  <si>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</si>
  <si>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</si>
  <si>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</si>
  <si>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</si>
  <si>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</si>
  <si>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</si>
  <si>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</si>
  <si>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</si>
  <si>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</si>
  <si>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</si>
  <si>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</si>
  <si>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</si>
  <si>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</si>
  <si>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</si>
  <si>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</si>
  <si>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</si>
  <si>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</si>
  <si>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</si>
  <si>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</si>
  <si>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</si>
  <si>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</si>
  <si>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</si>
  <si>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</si>
  <si>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</si>
  <si>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</si>
  <si>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</si>
  <si>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</si>
  <si>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</si>
  <si>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</si>
  <si>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</si>
  <si>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</si>
  <si>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</si>
  <si>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</si>
  <si>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</si>
  <si>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</si>
  <si>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</si>
  <si>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</si>
  <si>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</si>
  <si>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</si>
  <si>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</si>
  <si>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</si>
  <si>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</si>
  <si>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</si>
  <si>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</si>
  <si>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</si>
  <si>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</si>
  <si>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</si>
  <si>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</si>
  <si>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</si>
  <si>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</si>
  <si>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</si>
  <si>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</si>
  <si>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</si>
  <si>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</si>
  <si>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</si>
  <si>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</si>
  <si>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</si>
  <si>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</si>
  <si>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</si>
  <si>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</si>
  <si>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</si>
  <si>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</si>
  <si>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</si>
  <si>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</si>
  <si>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</si>
  <si>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</si>
  <si>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</si>
  <si>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</si>
  <si>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</si>
  <si>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</si>
  <si>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</si>
  <si>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</si>
  <si>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</si>
  <si>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</si>
  <si>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</si>
  <si>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</si>
  <si>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</si>
  <si>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</si>
  <si>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</si>
  <si>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</si>
  <si>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</si>
  <si>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</si>
  <si>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</si>
  <si>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</si>
  <si>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</si>
  <si>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</si>
  <si>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</si>
  <si>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</si>
  <si>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</si>
  <si>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</si>
  <si>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</si>
  <si>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</si>
  <si>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</si>
  <si>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</si>
  <si>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</si>
  <si>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</si>
  <si>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</si>
  <si>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</si>
  <si>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</si>
  <si>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</si>
  <si>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</si>
  <si>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</si>
  <si>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</si>
  <si>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</si>
  <si>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</si>
  <si>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</si>
  <si>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</si>
  <si>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</si>
  <si>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</si>
  <si>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</si>
  <si>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</si>
  <si>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</si>
  <si>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</si>
  <si>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</si>
  <si>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</si>
  <si>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</si>
  <si>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</si>
  <si>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</si>
  <si>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</si>
  <si>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</si>
  <si>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</si>
  <si>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</si>
  <si>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</si>
  <si>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</si>
  <si>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</si>
  <si>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</si>
  <si>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</si>
  <si>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</si>
  <si>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</si>
  <si>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</si>
  <si>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</si>
  <si>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</si>
  <si>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</si>
  <si>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</si>
  <si>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</si>
  <si>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</si>
  <si>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</si>
  <si>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</si>
  <si>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</si>
  <si>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</si>
  <si>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</si>
  <si>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</si>
  <si>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</si>
  <si>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</si>
  <si>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</si>
  <si>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</si>
  <si>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</si>
  <si>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</si>
  <si>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</si>
  <si>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</si>
  <si>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</si>
  <si>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</si>
  <si>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</si>
  <si>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</si>
  <si>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</si>
  <si>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</si>
  <si>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</si>
  <si>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</si>
  <si>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</si>
  <si>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</si>
  <si>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</si>
  <si>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</si>
  <si>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</si>
  <si>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</si>
  <si>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</si>
  <si>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</si>
  <si>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</si>
  <si>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</si>
  <si>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</si>
  <si>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</si>
  <si>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</si>
  <si>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</si>
  <si>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</si>
  <si>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</si>
  <si>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</si>
  <si>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</si>
  <si>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</si>
  <si>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</si>
  <si>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</si>
  <si>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</si>
  <si>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</si>
  <si>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</si>
  <si>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</si>
  <si>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</si>
  <si>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</si>
  <si>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</si>
  <si>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</si>
  <si>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</si>
  <si>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</si>
  <si>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</si>
  <si>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</si>
  <si>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</si>
  <si>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</si>
  <si>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</si>
  <si>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</si>
  <si>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</si>
  <si>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</si>
  <si>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</si>
  <si>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</si>
  <si>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</si>
  <si>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</si>
  <si>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</si>
  <si>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</si>
  <si>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</si>
  <si>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</si>
  <si>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</si>
  <si>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</si>
  <si>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</si>
  <si>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</si>
  <si>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</si>
  <si>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</si>
  <si>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</si>
  <si>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</si>
  <si>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</si>
  <si>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</si>
  <si>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</si>
  <si>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</si>
  <si>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</si>
  <si>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</si>
  <si>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</si>
  <si>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</si>
  <si>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</si>
  <si>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</si>
  <si>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</si>
  <si>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</si>
  <si>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</si>
  <si>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</si>
  <si>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</si>
  <si>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</si>
  <si>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</si>
  <si>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</si>
  <si>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</si>
  <si>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</si>
  <si>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</si>
  <si>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</si>
  <si>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</si>
  <si>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</si>
  <si>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</si>
  <si>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</si>
  <si>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</si>
  <si>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</si>
  <si>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</si>
  <si>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</si>
  <si>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</si>
  <si>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</si>
  <si>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</si>
  <si>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</si>
  <si>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</si>
  <si>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</si>
  <si>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</si>
  <si>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</si>
  <si>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</si>
  <si>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</si>
  <si>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</si>
  <si>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</si>
  <si>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</si>
  <si>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</si>
  <si>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</si>
  <si>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</si>
  <si>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</si>
  <si>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</si>
  <si>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</si>
  <si>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</si>
  <si>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</si>
  <si>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</si>
  <si>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</si>
  <si>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</si>
  <si>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</si>
  <si>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</si>
  <si>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</si>
  <si>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</si>
  <si>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</si>
  <si>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</si>
  <si>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</si>
  <si>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</si>
  <si>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</si>
  <si>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</si>
  <si>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</si>
  <si>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</si>
  <si>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</si>
  <si>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</si>
  <si>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</si>
  <si>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</si>
  <si>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</si>
  <si>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</si>
  <si>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</si>
  <si>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</si>
  <si>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</si>
  <si>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</si>
  <si>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</si>
  <si>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</si>
  <si>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</si>
  <si>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</si>
  <si>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</si>
  <si>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</si>
  <si>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</si>
  <si>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</si>
  <si>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</si>
  <si>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</si>
  <si>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</si>
  <si>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</si>
  <si>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</si>
  <si>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</si>
  <si>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</si>
  <si>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71016</t>
  </si>
  <si>
    <t>GENK</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</si>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</sst>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71016</v>
      </c>
      <c r="B6" s="397"/>
      <c r="C6" s="398"/>
    </row>
    <row r="7" spans="1:7" s="395" customFormat="1" ht="15.75" customHeight="1">
      <c r="A7" s="399" t="str">
        <f>txtMunicipality</f>
        <v>GENK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0.20488162478619154</v>
      </c>
      <c r="C17" s="510">
        <f ca="1">'EF ele_warmte'!B22</f>
        <v>0.23707701533453271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0.20488162478619154</v>
      </c>
      <c r="C29" s="511">
        <f ca="1">'EF ele_warmte'!B22</f>
        <v>0.23707701533453271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25002</v>
      </c>
      <c r="C9" s="338">
        <v>25945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307</v>
      </c>
    </row>
    <row r="15" spans="1:6">
      <c r="A15" s="1286" t="s">
        <v>184</v>
      </c>
      <c r="B15" s="335">
        <v>0</v>
      </c>
    </row>
    <row r="16" spans="1:6">
      <c r="A16" s="1286" t="s">
        <v>6</v>
      </c>
      <c r="B16" s="335">
        <v>0</v>
      </c>
    </row>
    <row r="17" spans="1:6">
      <c r="A17" s="1286" t="s">
        <v>7</v>
      </c>
      <c r="B17" s="335">
        <v>9</v>
      </c>
    </row>
    <row r="18" spans="1:6">
      <c r="A18" s="1286" t="s">
        <v>8</v>
      </c>
      <c r="B18" s="335">
        <v>15</v>
      </c>
    </row>
    <row r="19" spans="1:6">
      <c r="A19" s="1286" t="s">
        <v>9</v>
      </c>
      <c r="B19" s="335">
        <v>11</v>
      </c>
    </row>
    <row r="20" spans="1:6">
      <c r="A20" s="1286" t="s">
        <v>10</v>
      </c>
      <c r="B20" s="335">
        <v>22</v>
      </c>
    </row>
    <row r="21" spans="1:6">
      <c r="A21" s="1286" t="s">
        <v>11</v>
      </c>
      <c r="B21" s="335">
        <v>10</v>
      </c>
    </row>
    <row r="22" spans="1:6">
      <c r="A22" s="1286" t="s">
        <v>12</v>
      </c>
      <c r="B22" s="335">
        <v>0</v>
      </c>
    </row>
    <row r="23" spans="1:6">
      <c r="A23" s="1286" t="s">
        <v>13</v>
      </c>
      <c r="B23" s="335">
        <v>0</v>
      </c>
    </row>
    <row r="24" spans="1:6">
      <c r="A24" s="1286" t="s">
        <v>14</v>
      </c>
      <c r="B24" s="335">
        <v>0</v>
      </c>
    </row>
    <row r="25" spans="1:6">
      <c r="A25" s="1286" t="s">
        <v>15</v>
      </c>
      <c r="B25" s="335">
        <v>2</v>
      </c>
    </row>
    <row r="26" spans="1:6">
      <c r="A26" s="1286" t="s">
        <v>16</v>
      </c>
      <c r="B26" s="335">
        <v>108</v>
      </c>
    </row>
    <row r="27" spans="1:6">
      <c r="A27" s="1286" t="s">
        <v>17</v>
      </c>
      <c r="B27" s="335">
        <v>2</v>
      </c>
    </row>
    <row r="28" spans="1:6" s="341" customFormat="1">
      <c r="A28" s="1287" t="s">
        <v>18</v>
      </c>
      <c r="B28" s="1287">
        <v>50</v>
      </c>
    </row>
    <row r="29" spans="1:6">
      <c r="A29" s="1287" t="s">
        <v>944</v>
      </c>
      <c r="B29" s="1287">
        <v>72</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87760</v>
      </c>
    </row>
    <row r="36" spans="1:6">
      <c r="A36" s="1286" t="s">
        <v>25</v>
      </c>
      <c r="B36" s="1286" t="s">
        <v>27</v>
      </c>
      <c r="C36" s="335">
        <v>0</v>
      </c>
      <c r="D36" s="335">
        <v>0</v>
      </c>
      <c r="E36" s="335">
        <v>29</v>
      </c>
      <c r="F36" s="335">
        <v>157317</v>
      </c>
    </row>
    <row r="37" spans="1:6">
      <c r="A37" s="1286" t="s">
        <v>25</v>
      </c>
      <c r="B37" s="1286" t="s">
        <v>28</v>
      </c>
      <c r="C37" s="335">
        <v>0</v>
      </c>
      <c r="D37" s="335">
        <v>0</v>
      </c>
      <c r="E37" s="335">
        <v>0</v>
      </c>
      <c r="F37" s="335">
        <v>0</v>
      </c>
    </row>
    <row r="38" spans="1:6">
      <c r="A38" s="1286" t="s">
        <v>25</v>
      </c>
      <c r="B38" s="1286" t="s">
        <v>29</v>
      </c>
      <c r="C38" s="335">
        <v>2</v>
      </c>
      <c r="D38" s="335">
        <v>1464403</v>
      </c>
      <c r="E38" s="335">
        <v>0</v>
      </c>
      <c r="F38" s="335">
        <v>0</v>
      </c>
    </row>
    <row r="39" spans="1:6">
      <c r="A39" s="1286" t="s">
        <v>30</v>
      </c>
      <c r="B39" s="1286" t="s">
        <v>31</v>
      </c>
      <c r="C39" s="335">
        <v>10099</v>
      </c>
      <c r="D39" s="335">
        <v>164756829</v>
      </c>
      <c r="E39" s="335">
        <v>25579</v>
      </c>
      <c r="F39" s="335">
        <v>125057342</v>
      </c>
    </row>
    <row r="40" spans="1:6">
      <c r="A40" s="1286" t="s">
        <v>30</v>
      </c>
      <c r="B40" s="1286" t="s">
        <v>29</v>
      </c>
      <c r="C40" s="335">
        <v>0</v>
      </c>
      <c r="D40" s="335">
        <v>0</v>
      </c>
      <c r="E40" s="335">
        <v>0</v>
      </c>
      <c r="F40" s="335">
        <v>0</v>
      </c>
    </row>
    <row r="41" spans="1:6">
      <c r="A41" s="1286" t="s">
        <v>32</v>
      </c>
      <c r="B41" s="1286" t="s">
        <v>33</v>
      </c>
      <c r="C41" s="335">
        <v>122</v>
      </c>
      <c r="D41" s="335">
        <v>16129906</v>
      </c>
      <c r="E41" s="335">
        <v>499</v>
      </c>
      <c r="F41" s="335">
        <v>100698684</v>
      </c>
    </row>
    <row r="42" spans="1:6">
      <c r="A42" s="1286" t="s">
        <v>32</v>
      </c>
      <c r="B42" s="1286" t="s">
        <v>34</v>
      </c>
      <c r="C42" s="335">
        <v>0</v>
      </c>
      <c r="D42" s="335">
        <v>0</v>
      </c>
      <c r="E42" s="335">
        <v>10</v>
      </c>
      <c r="F42" s="335">
        <v>63481832</v>
      </c>
    </row>
    <row r="43" spans="1:6">
      <c r="A43" s="1286" t="s">
        <v>32</v>
      </c>
      <c r="B43" s="1286" t="s">
        <v>35</v>
      </c>
      <c r="C43" s="335">
        <v>3</v>
      </c>
      <c r="D43" s="335">
        <v>6272201</v>
      </c>
      <c r="E43" s="335">
        <v>3</v>
      </c>
      <c r="F43" s="335">
        <v>1442335</v>
      </c>
    </row>
    <row r="44" spans="1:6">
      <c r="A44" s="1286" t="s">
        <v>32</v>
      </c>
      <c r="B44" s="1286" t="s">
        <v>36</v>
      </c>
      <c r="C44" s="335">
        <v>44</v>
      </c>
      <c r="D44" s="335">
        <v>60149198</v>
      </c>
      <c r="E44" s="335">
        <v>83</v>
      </c>
      <c r="F44" s="335">
        <v>56522002</v>
      </c>
    </row>
    <row r="45" spans="1:6">
      <c r="A45" s="1286" t="s">
        <v>32</v>
      </c>
      <c r="B45" s="1286" t="s">
        <v>37</v>
      </c>
      <c r="C45" s="335">
        <v>6</v>
      </c>
      <c r="D45" s="335">
        <v>630210</v>
      </c>
      <c r="E45" s="335">
        <v>13</v>
      </c>
      <c r="F45" s="335">
        <v>839367</v>
      </c>
    </row>
    <row r="46" spans="1:6">
      <c r="A46" s="1286" t="s">
        <v>32</v>
      </c>
      <c r="B46" s="1286" t="s">
        <v>38</v>
      </c>
      <c r="C46" s="335">
        <v>0</v>
      </c>
      <c r="D46" s="335">
        <v>0</v>
      </c>
      <c r="E46" s="335">
        <v>0</v>
      </c>
      <c r="F46" s="335">
        <v>0</v>
      </c>
    </row>
    <row r="47" spans="1:6">
      <c r="A47" s="1286" t="s">
        <v>32</v>
      </c>
      <c r="B47" s="1286" t="s">
        <v>39</v>
      </c>
      <c r="C47" s="335">
        <v>9</v>
      </c>
      <c r="D47" s="335">
        <v>6999066</v>
      </c>
      <c r="E47" s="335">
        <v>17</v>
      </c>
      <c r="F47" s="335">
        <v>17665477</v>
      </c>
    </row>
    <row r="48" spans="1:6">
      <c r="A48" s="1286" t="s">
        <v>32</v>
      </c>
      <c r="B48" s="1286" t="s">
        <v>29</v>
      </c>
      <c r="C48" s="335">
        <v>1</v>
      </c>
      <c r="D48" s="335">
        <v>5913270</v>
      </c>
      <c r="E48" s="335">
        <v>0</v>
      </c>
      <c r="F48" s="335">
        <v>0</v>
      </c>
    </row>
    <row r="49" spans="1:6">
      <c r="A49" s="1286" t="s">
        <v>32</v>
      </c>
      <c r="B49" s="1286" t="s">
        <v>40</v>
      </c>
      <c r="C49" s="335">
        <v>4</v>
      </c>
      <c r="D49" s="335">
        <v>8235743</v>
      </c>
      <c r="E49" s="335">
        <v>7</v>
      </c>
      <c r="F49" s="335">
        <v>110965</v>
      </c>
    </row>
    <row r="50" spans="1:6">
      <c r="A50" s="1286" t="s">
        <v>32</v>
      </c>
      <c r="B50" s="1286" t="s">
        <v>41</v>
      </c>
      <c r="C50" s="335">
        <v>11</v>
      </c>
      <c r="D50" s="335">
        <v>5185720</v>
      </c>
      <c r="E50" s="335">
        <v>52</v>
      </c>
      <c r="F50" s="335">
        <v>7309738</v>
      </c>
    </row>
    <row r="51" spans="1:6">
      <c r="A51" s="1286" t="s">
        <v>42</v>
      </c>
      <c r="B51" s="1286" t="s">
        <v>43</v>
      </c>
      <c r="C51" s="335">
        <v>12</v>
      </c>
      <c r="D51" s="335">
        <v>987062</v>
      </c>
      <c r="E51" s="335">
        <v>29</v>
      </c>
      <c r="F51" s="335">
        <v>407334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355</v>
      </c>
      <c r="F54" s="335">
        <v>3826158</v>
      </c>
    </row>
    <row r="55" spans="1:6">
      <c r="A55" s="1286" t="s">
        <v>46</v>
      </c>
      <c r="B55" s="1286" t="s">
        <v>29</v>
      </c>
      <c r="C55" s="335">
        <v>0</v>
      </c>
      <c r="D55" s="335">
        <v>0</v>
      </c>
      <c r="E55" s="335">
        <v>0</v>
      </c>
      <c r="F55" s="335">
        <v>0</v>
      </c>
    </row>
    <row r="56" spans="1:6">
      <c r="A56" s="1286" t="s">
        <v>48</v>
      </c>
      <c r="B56" s="1286" t="s">
        <v>29</v>
      </c>
      <c r="C56" s="335">
        <v>156</v>
      </c>
      <c r="D56" s="335">
        <v>10663061</v>
      </c>
      <c r="E56" s="335">
        <v>438</v>
      </c>
      <c r="F56" s="335">
        <v>4318872</v>
      </c>
    </row>
    <row r="57" spans="1:6">
      <c r="A57" s="1286" t="s">
        <v>49</v>
      </c>
      <c r="B57" s="1286" t="s">
        <v>50</v>
      </c>
      <c r="C57" s="335">
        <v>177</v>
      </c>
      <c r="D57" s="335">
        <v>16907925</v>
      </c>
      <c r="E57" s="335">
        <v>327</v>
      </c>
      <c r="F57" s="335">
        <v>18507761</v>
      </c>
    </row>
    <row r="58" spans="1:6">
      <c r="A58" s="1286" t="s">
        <v>49</v>
      </c>
      <c r="B58" s="1286" t="s">
        <v>51</v>
      </c>
      <c r="C58" s="335">
        <v>67</v>
      </c>
      <c r="D58" s="335">
        <v>7370590</v>
      </c>
      <c r="E58" s="335">
        <v>154</v>
      </c>
      <c r="F58" s="335">
        <v>3962614</v>
      </c>
    </row>
    <row r="59" spans="1:6">
      <c r="A59" s="1286" t="s">
        <v>49</v>
      </c>
      <c r="B59" s="1286" t="s">
        <v>52</v>
      </c>
      <c r="C59" s="335">
        <v>329</v>
      </c>
      <c r="D59" s="335">
        <v>28442089</v>
      </c>
      <c r="E59" s="335">
        <v>920</v>
      </c>
      <c r="F59" s="335">
        <v>47373121</v>
      </c>
    </row>
    <row r="60" spans="1:6">
      <c r="A60" s="1286" t="s">
        <v>49</v>
      </c>
      <c r="B60" s="1286" t="s">
        <v>53</v>
      </c>
      <c r="C60" s="335">
        <v>162</v>
      </c>
      <c r="D60" s="335">
        <v>21077410</v>
      </c>
      <c r="E60" s="335">
        <v>309</v>
      </c>
      <c r="F60" s="335">
        <v>12274198</v>
      </c>
    </row>
    <row r="61" spans="1:6">
      <c r="A61" s="1286" t="s">
        <v>49</v>
      </c>
      <c r="B61" s="1286" t="s">
        <v>54</v>
      </c>
      <c r="C61" s="335">
        <v>303</v>
      </c>
      <c r="D61" s="335">
        <v>41670313</v>
      </c>
      <c r="E61" s="335">
        <v>1200</v>
      </c>
      <c r="F61" s="335">
        <v>65753767</v>
      </c>
    </row>
    <row r="62" spans="1:6">
      <c r="A62" s="1286" t="s">
        <v>49</v>
      </c>
      <c r="B62" s="1286" t="s">
        <v>55</v>
      </c>
      <c r="C62" s="335">
        <v>32</v>
      </c>
      <c r="D62" s="335">
        <v>5059446</v>
      </c>
      <c r="E62" s="335">
        <v>74</v>
      </c>
      <c r="F62" s="335">
        <v>4774843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5527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654170</v>
      </c>
      <c r="E68" s="335">
        <v>29</v>
      </c>
      <c r="F68" s="335">
        <v>2937388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254422071</v>
      </c>
      <c r="E73" s="335">
        <v>365270300.52731085</v>
      </c>
    </row>
    <row r="74" spans="1:6">
      <c r="A74" s="1286" t="s">
        <v>64</v>
      </c>
      <c r="B74" s="1286" t="s">
        <v>772</v>
      </c>
      <c r="C74" s="1297" t="s">
        <v>766</v>
      </c>
      <c r="D74" s="335">
        <v>20130145.321836811</v>
      </c>
      <c r="E74" s="335">
        <v>29232180.127648827</v>
      </c>
    </row>
    <row r="75" spans="1:6">
      <c r="A75" s="1286" t="s">
        <v>65</v>
      </c>
      <c r="B75" s="1286" t="s">
        <v>771</v>
      </c>
      <c r="C75" s="1297" t="s">
        <v>767</v>
      </c>
      <c r="D75" s="335">
        <v>64058269</v>
      </c>
      <c r="E75" s="335">
        <v>92688896.622623146</v>
      </c>
    </row>
    <row r="76" spans="1:6">
      <c r="A76" s="1286" t="s">
        <v>65</v>
      </c>
      <c r="B76" s="1286" t="s">
        <v>772</v>
      </c>
      <c r="C76" s="1297" t="s">
        <v>768</v>
      </c>
      <c r="D76" s="335">
        <v>409864.32183681009</v>
      </c>
      <c r="E76" s="335">
        <v>1399040.8102196555</v>
      </c>
    </row>
    <row r="77" spans="1:6">
      <c r="A77" s="1286" t="s">
        <v>66</v>
      </c>
      <c r="B77" s="1286" t="s">
        <v>771</v>
      </c>
      <c r="C77" s="1297" t="s">
        <v>769</v>
      </c>
      <c r="D77" s="335">
        <v>142336900</v>
      </c>
      <c r="E77" s="335">
        <v>180127562.64136457</v>
      </c>
    </row>
    <row r="78" spans="1:6">
      <c r="A78" s="1282" t="s">
        <v>66</v>
      </c>
      <c r="B78" s="1282" t="s">
        <v>772</v>
      </c>
      <c r="C78" s="1282" t="s">
        <v>770</v>
      </c>
      <c r="D78" s="1282">
        <v>26555332</v>
      </c>
      <c r="E78" s="1282">
        <v>32778679.392041236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4422451.3563263798</v>
      </c>
      <c r="C83" s="335">
        <v>4182154.5945313326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10429.445914654314</v>
      </c>
    </row>
    <row r="91" spans="1:6">
      <c r="A91" s="1286" t="s">
        <v>68</v>
      </c>
      <c r="B91" s="335">
        <v>8508.0312227244613</v>
      </c>
    </row>
    <row r="92" spans="1:6">
      <c r="A92" s="1282" t="s">
        <v>69</v>
      </c>
      <c r="B92" s="338">
        <v>19852.794429474317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3815</v>
      </c>
    </row>
    <row r="98" spans="1:6">
      <c r="A98" s="1286" t="s">
        <v>72</v>
      </c>
      <c r="B98" s="335">
        <v>9</v>
      </c>
    </row>
    <row r="99" spans="1:6">
      <c r="A99" s="1286" t="s">
        <v>73</v>
      </c>
      <c r="B99" s="335">
        <v>73</v>
      </c>
    </row>
    <row r="100" spans="1:6">
      <c r="A100" s="1286" t="s">
        <v>74</v>
      </c>
      <c r="B100" s="335">
        <v>4328</v>
      </c>
    </row>
    <row r="101" spans="1:6">
      <c r="A101" s="1286" t="s">
        <v>75</v>
      </c>
      <c r="B101" s="335">
        <v>91</v>
      </c>
    </row>
    <row r="102" spans="1:6">
      <c r="A102" s="1286" t="s">
        <v>76</v>
      </c>
      <c r="B102" s="335">
        <v>353</v>
      </c>
    </row>
    <row r="103" spans="1:6">
      <c r="A103" s="1286" t="s">
        <v>77</v>
      </c>
      <c r="B103" s="335">
        <v>446</v>
      </c>
    </row>
    <row r="104" spans="1:6">
      <c r="A104" s="1286" t="s">
        <v>78</v>
      </c>
      <c r="B104" s="335">
        <v>12961</v>
      </c>
    </row>
    <row r="105" spans="1:6">
      <c r="A105" s="1282" t="s">
        <v>79</v>
      </c>
      <c r="B105" s="1282">
        <v>14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17</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178</v>
      </c>
    </row>
    <row r="130" spans="1:6">
      <c r="A130" s="1286" t="s">
        <v>295</v>
      </c>
      <c r="B130" s="335">
        <v>0</v>
      </c>
    </row>
    <row r="131" spans="1:6">
      <c r="A131" s="1286" t="s">
        <v>296</v>
      </c>
      <c r="B131" s="335">
        <v>0</v>
      </c>
    </row>
    <row r="132" spans="1:6">
      <c r="A132" s="1282" t="s">
        <v>297</v>
      </c>
      <c r="B132" s="338">
        <v>33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543803.76183066494</v>
      </c>
      <c r="C3" s="44" t="s">
        <v>170</v>
      </c>
      <c r="D3" s="44"/>
      <c r="E3" s="157"/>
      <c r="F3" s="44"/>
      <c r="G3" s="44"/>
      <c r="H3" s="44"/>
      <c r="I3" s="44"/>
      <c r="J3" s="44"/>
      <c r="K3" s="97"/>
    </row>
    <row r="4" spans="1:11">
      <c r="A4" s="365" t="s">
        <v>171</v>
      </c>
      <c r="B4" s="50">
        <f>IF(ISERROR('SEAP template'!B78+'SEAP template'!C78),0,'SEAP template'!B78+'SEAP template'!C78)</f>
        <v>39751.396566853095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19.8255654073503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0.20488162478619154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29.592291735506855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124.82142857142858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0.23707701533453271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3826.1579999999999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3826.1579999999999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0.20488162478619154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783.90946772868506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125057.342</v>
      </c>
      <c r="C5" s="18">
        <f>IF(ISERROR('Eigen informatie GS &amp; warmtenet'!B57),0,'Eigen informatie GS &amp; warmtenet'!B57)</f>
        <v>0</v>
      </c>
      <c r="D5" s="31">
        <f>(SUM(HH_hh_gas_kWh,HH_rest_gas_kWh)/1000)*0.902</f>
        <v>148610.65975799999</v>
      </c>
      <c r="E5" s="18">
        <f>B46*B57</f>
        <v>2701.1296345391088</v>
      </c>
      <c r="F5" s="18">
        <f>B51*B62</f>
        <v>144207.75068951474</v>
      </c>
      <c r="G5" s="19"/>
      <c r="H5" s="18"/>
      <c r="I5" s="18"/>
      <c r="J5" s="18">
        <f>B50*B61+C50*C61</f>
        <v>0</v>
      </c>
      <c r="K5" s="18"/>
      <c r="L5" s="18"/>
      <c r="M5" s="18"/>
      <c r="N5" s="18">
        <f>B48*B59+C48*C59</f>
        <v>10935.000175948138</v>
      </c>
      <c r="O5" s="18">
        <f>B69*B70*B71</f>
        <v>304.85000000000002</v>
      </c>
      <c r="P5" s="18">
        <f>B77*B78*B79/1000-B77*B78*B79/1000/B80</f>
        <v>1048.6666666666667</v>
      </c>
    </row>
    <row r="6" spans="1:16">
      <c r="A6" s="17" t="s">
        <v>639</v>
      </c>
      <c r="B6" s="780">
        <f>kWh_PV_kleiner_dan_10kW</f>
        <v>8508.0312227244613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133565.37322272448</v>
      </c>
      <c r="C8" s="22">
        <f>C5</f>
        <v>0</v>
      </c>
      <c r="D8" s="22">
        <f>D5</f>
        <v>148610.65975799999</v>
      </c>
      <c r="E8" s="22">
        <f>E5</f>
        <v>2701.1296345391088</v>
      </c>
      <c r="F8" s="22">
        <f>F5</f>
        <v>144207.75068951474</v>
      </c>
      <c r="G8" s="22"/>
      <c r="H8" s="22"/>
      <c r="I8" s="22"/>
      <c r="J8" s="22">
        <f>J5</f>
        <v>0</v>
      </c>
      <c r="K8" s="22"/>
      <c r="L8" s="22">
        <f>L5</f>
        <v>0</v>
      </c>
      <c r="M8" s="22">
        <f>M5</f>
        <v>0</v>
      </c>
      <c r="N8" s="22">
        <f>N5</f>
        <v>10935.000175948138</v>
      </c>
      <c r="O8" s="22">
        <f>O5</f>
        <v>304.85000000000002</v>
      </c>
      <c r="P8" s="22">
        <f>P5</f>
        <v>1048.6666666666667</v>
      </c>
    </row>
    <row r="9" spans="1:16">
      <c r="B9" s="20"/>
      <c r="C9" s="20"/>
      <c r="D9" s="262"/>
      <c r="E9" s="20"/>
      <c r="F9" s="20"/>
      <c r="G9" s="20"/>
      <c r="H9" s="20"/>
      <c r="I9" s="20"/>
      <c r="J9" s="20"/>
      <c r="K9" s="20"/>
      <c r="L9" s="20"/>
      <c r="M9" s="20"/>
      <c r="N9" s="20"/>
      <c r="O9" s="20"/>
      <c r="P9" s="20"/>
    </row>
    <row r="10" spans="1:16">
      <c r="A10" s="25" t="s">
        <v>214</v>
      </c>
      <c r="B10" s="26">
        <f ca="1">'EF ele_warmte'!B12</f>
        <v>0.20488162478619154</v>
      </c>
      <c r="C10" s="26">
        <f ca="1">'EF ele_warmte'!B22</f>
        <v>0.23707701533453271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27365.090681045873</v>
      </c>
      <c r="C12" s="24">
        <f ca="1">C10*C8</f>
        <v>0</v>
      </c>
      <c r="D12" s="24">
        <f>D8*D10</f>
        <v>30019.353271116001</v>
      </c>
      <c r="E12" s="24">
        <f>E10*E8</f>
        <v>613.15642704037771</v>
      </c>
      <c r="F12" s="24">
        <f>F10*F8</f>
        <v>38503.469434100436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3815</v>
      </c>
      <c r="C18" s="169" t="s">
        <v>111</v>
      </c>
      <c r="D18" s="231"/>
      <c r="E18" s="16"/>
    </row>
    <row r="19" spans="1:7">
      <c r="A19" s="174" t="s">
        <v>72</v>
      </c>
      <c r="B19" s="38">
        <f>aantalw2001_ander</f>
        <v>9</v>
      </c>
      <c r="C19" s="169" t="s">
        <v>111</v>
      </c>
      <c r="D19" s="232"/>
      <c r="E19" s="16"/>
    </row>
    <row r="20" spans="1:7">
      <c r="A20" s="174" t="s">
        <v>73</v>
      </c>
      <c r="B20" s="38">
        <f>aantalw2001_propaan</f>
        <v>73</v>
      </c>
      <c r="C20" s="170">
        <f>IF(ISERROR(B20/SUM($B$20,$B$21,$B$22)*100),0,B20/SUM($B$20,$B$21,$B$22)*100)</f>
        <v>1.6251113089937665</v>
      </c>
      <c r="D20" s="232"/>
      <c r="E20" s="16"/>
    </row>
    <row r="21" spans="1:7">
      <c r="A21" s="174" t="s">
        <v>74</v>
      </c>
      <c r="B21" s="38">
        <f>aantalw2001_elektriciteit</f>
        <v>4328</v>
      </c>
      <c r="C21" s="170">
        <f>IF(ISERROR(B21/SUM($B$20,$B$21,$B$22)*100),0,B21/SUM($B$20,$B$21,$B$22)*100)</f>
        <v>96.349065004452356</v>
      </c>
      <c r="D21" s="232"/>
      <c r="E21" s="16"/>
    </row>
    <row r="22" spans="1:7">
      <c r="A22" s="174" t="s">
        <v>75</v>
      </c>
      <c r="B22" s="38">
        <f>aantalw2001_hout</f>
        <v>91</v>
      </c>
      <c r="C22" s="170">
        <f>IF(ISERROR(B22/SUM($B$20,$B$21,$B$22)*100),0,B22/SUM($B$20,$B$21,$B$22)*100)</f>
        <v>2.0258236865538737</v>
      </c>
      <c r="D22" s="232"/>
      <c r="E22" s="16"/>
    </row>
    <row r="23" spans="1:7">
      <c r="A23" s="174" t="s">
        <v>76</v>
      </c>
      <c r="B23" s="38">
        <f>aantalw2001_niet_gespec</f>
        <v>353</v>
      </c>
      <c r="C23" s="169" t="s">
        <v>111</v>
      </c>
      <c r="D23" s="231"/>
      <c r="E23" s="16"/>
    </row>
    <row r="24" spans="1:7">
      <c r="A24" s="174" t="s">
        <v>77</v>
      </c>
      <c r="B24" s="38">
        <f>aantalw2001_steenkool</f>
        <v>446</v>
      </c>
      <c r="C24" s="169" t="s">
        <v>111</v>
      </c>
      <c r="D24" s="232"/>
      <c r="E24" s="16"/>
    </row>
    <row r="25" spans="1:7">
      <c r="A25" s="174" t="s">
        <v>78</v>
      </c>
      <c r="B25" s="38">
        <f>aantalw2001_stookolie</f>
        <v>12961</v>
      </c>
      <c r="C25" s="169" t="s">
        <v>111</v>
      </c>
      <c r="D25" s="231"/>
      <c r="E25" s="53"/>
    </row>
    <row r="26" spans="1:7">
      <c r="A26" s="174" t="s">
        <v>79</v>
      </c>
      <c r="B26" s="38">
        <f>aantalw2001_WP</f>
        <v>14</v>
      </c>
      <c r="C26" s="169" t="s">
        <v>111</v>
      </c>
      <c r="D26" s="231"/>
      <c r="E26" s="16"/>
    </row>
    <row r="27" spans="1:7" s="16" customFormat="1">
      <c r="A27" s="174"/>
      <c r="B27" s="30"/>
      <c r="C27" s="37"/>
      <c r="D27" s="231"/>
    </row>
    <row r="28" spans="1:7" s="16" customFormat="1">
      <c r="A28" s="233" t="s">
        <v>665</v>
      </c>
      <c r="B28" s="38">
        <f>aantalHuishoudens2011</f>
        <v>25002</v>
      </c>
      <c r="C28" s="37"/>
      <c r="D28" s="231"/>
    </row>
    <row r="29" spans="1:7" s="16" customFormat="1">
      <c r="A29" s="233" t="s">
        <v>666</v>
      </c>
      <c r="B29" s="38">
        <f>SUM(HH_hh_gas_aantal,HH_rest_gas_aantal)</f>
        <v>10099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10099</v>
      </c>
      <c r="C32" s="170">
        <f>IF(ISERROR(B32/SUM($B$32,$B$34,$B$35,$B$36,$B$38,$B$39)*100),0,B32/SUM($B$32,$B$34,$B$35,$B$36,$B$38,$B$39)*100)</f>
        <v>40.481821461498377</v>
      </c>
      <c r="D32" s="236"/>
      <c r="G32" s="16"/>
    </row>
    <row r="33" spans="1:7">
      <c r="A33" s="174" t="s">
        <v>72</v>
      </c>
      <c r="B33" s="35" t="s">
        <v>111</v>
      </c>
      <c r="C33" s="170"/>
      <c r="D33" s="236"/>
      <c r="G33" s="16"/>
    </row>
    <row r="34" spans="1:7">
      <c r="A34" s="174" t="s">
        <v>73</v>
      </c>
      <c r="B34" s="34">
        <f>IF((($B$28-$B$32-$B$39-$B$77-$B$38)*C20/100)&lt;0,0,($B$28-$B$32-$B$39-$B$77-$B$38)*C20/100)</f>
        <v>122.57564559216384</v>
      </c>
      <c r="C34" s="170">
        <f>IF(ISERROR(B34/SUM($B$32,$B$34,$B$35,$B$36,$B$38,$B$39)*100),0,B34/SUM($B$32,$B$34,$B$35,$B$36,$B$38,$B$39)*100)</f>
        <v>0.49134423214079381</v>
      </c>
      <c r="D34" s="236"/>
      <c r="G34" s="16"/>
    </row>
    <row r="35" spans="1:7">
      <c r="A35" s="174" t="s">
        <v>74</v>
      </c>
      <c r="B35" s="34">
        <f>IF((($B$28-$B$32-$B$39-$B$77-$B$38)*C21/100)&lt;0,0,($B$28-$B$32-$B$39-$B$77-$B$38)*C21/100)</f>
        <v>7267.2245770258232</v>
      </c>
      <c r="C35" s="170">
        <f>IF(ISERROR(B35/SUM($B$32,$B$34,$B$35,$B$36,$B$38,$B$39)*100),0,B35/SUM($B$32,$B$34,$B$35,$B$36,$B$38,$B$39)*100)</f>
        <v>29.130655297333639</v>
      </c>
      <c r="D35" s="236"/>
      <c r="G35" s="16"/>
    </row>
    <row r="36" spans="1:7">
      <c r="A36" s="174" t="s">
        <v>75</v>
      </c>
      <c r="B36" s="34">
        <f>IF((($B$28-$B$32-$B$39-$B$77-$B$38)*C22/100)&lt;0,0,($B$28-$B$32-$B$39-$B$77-$B$38)*C22/100)</f>
        <v>152.79977738201248</v>
      </c>
      <c r="C36" s="170">
        <f>IF(ISERROR(B36/SUM($B$32,$B$34,$B$35,$B$36,$B$38,$B$39)*100),0,B36/SUM($B$32,$B$34,$B$35,$B$36,$B$38,$B$39)*100)</f>
        <v>0.61249760444948276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7305.4</v>
      </c>
      <c r="C39" s="170">
        <f>IF(ISERROR(B39/SUM($B$32,$B$34,$B$35,$B$36,$B$38,$B$39)*100),0,B39/SUM($B$32,$B$34,$B$35,$B$36,$B$38,$B$39)*100)</f>
        <v>29.283681404577706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10099</v>
      </c>
      <c r="C44" s="35" t="s">
        <v>111</v>
      </c>
      <c r="D44" s="177"/>
    </row>
    <row r="45" spans="1:7">
      <c r="A45" s="174" t="s">
        <v>72</v>
      </c>
      <c r="B45" s="34" t="str">
        <f t="shared" si="0"/>
        <v>-</v>
      </c>
      <c r="C45" s="35" t="s">
        <v>111</v>
      </c>
      <c r="D45" s="177"/>
    </row>
    <row r="46" spans="1:7">
      <c r="A46" s="174" t="s">
        <v>73</v>
      </c>
      <c r="B46" s="34">
        <f t="shared" si="0"/>
        <v>122.57564559216384</v>
      </c>
      <c r="C46" s="35" t="s">
        <v>111</v>
      </c>
      <c r="D46" s="177"/>
    </row>
    <row r="47" spans="1:7">
      <c r="A47" s="174" t="s">
        <v>74</v>
      </c>
      <c r="B47" s="34">
        <f t="shared" si="0"/>
        <v>7267.2245770258232</v>
      </c>
      <c r="C47" s="35" t="s">
        <v>111</v>
      </c>
      <c r="D47" s="177"/>
    </row>
    <row r="48" spans="1:7">
      <c r="A48" s="174" t="s">
        <v>75</v>
      </c>
      <c r="B48" s="34">
        <f t="shared" si="0"/>
        <v>152.79977738201248</v>
      </c>
      <c r="C48" s="34">
        <f>B48*10</f>
        <v>1527.9977738201248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7305.4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152646.304</v>
      </c>
      <c r="C5" s="18">
        <f>IF(ISERROR('Eigen informatie GS &amp; warmtenet'!B58),0,'Eigen informatie GS &amp; warmtenet'!B58)</f>
        <v>0</v>
      </c>
      <c r="D5" s="31">
        <f>SUM(D6:D12)</f>
        <v>108716.05124600002</v>
      </c>
      <c r="E5" s="18">
        <f>SUM(E6:E12)</f>
        <v>1158.2493839790554</v>
      </c>
      <c r="F5" s="18">
        <f>SUM(F6:F12)</f>
        <v>28844.45039631916</v>
      </c>
      <c r="G5" s="19"/>
      <c r="H5" s="18"/>
      <c r="I5" s="18"/>
      <c r="J5" s="18">
        <f>SUM(J6:J12)</f>
        <v>0</v>
      </c>
      <c r="K5" s="18"/>
      <c r="L5" s="18"/>
      <c r="M5" s="18"/>
      <c r="N5" s="18">
        <f>SUM(N6:N12)</f>
        <v>10976.369616820162</v>
      </c>
      <c r="O5" s="18">
        <f>B38*B39*B40</f>
        <v>0</v>
      </c>
      <c r="P5" s="18">
        <f>B46*B47*B48/1000-B46*B47*B48/1000/B49</f>
        <v>0</v>
      </c>
      <c r="R5" s="33"/>
    </row>
    <row r="6" spans="1:18">
      <c r="A6" s="33" t="s">
        <v>54</v>
      </c>
      <c r="B6" s="38">
        <f>B26</f>
        <v>65753.767000000007</v>
      </c>
      <c r="C6" s="34"/>
      <c r="D6" s="38">
        <f>IF(ISERROR(TER_kantoor_gas_kWh/1000),0,TER_kantoor_gas_kWh/1000)*0.902</f>
        <v>37586.622326000004</v>
      </c>
      <c r="E6" s="34">
        <f>$C$26*'E Balans VL '!I12/100/3.6*1000000</f>
        <v>107.91525834755035</v>
      </c>
      <c r="F6" s="34">
        <f>$C$26*('E Balans VL '!L12+'E Balans VL '!N12)/100/3.6*1000000</f>
        <v>7750.8220271771661</v>
      </c>
      <c r="G6" s="35"/>
      <c r="H6" s="34"/>
      <c r="I6" s="34"/>
      <c r="J6" s="34">
        <f>$C$26*('E Balans VL '!D12+'E Balans VL '!E12)/100/3.6*1000000</f>
        <v>0</v>
      </c>
      <c r="K6" s="34"/>
      <c r="L6" s="34"/>
      <c r="M6" s="34"/>
      <c r="N6" s="34">
        <f>$C$26*'E Balans VL '!Y12/100/3.6*1000000</f>
        <v>13.285237252772241</v>
      </c>
      <c r="O6" s="34"/>
      <c r="P6" s="34"/>
      <c r="R6" s="33"/>
    </row>
    <row r="7" spans="1:18">
      <c r="A7" s="33" t="s">
        <v>53</v>
      </c>
      <c r="B7" s="38">
        <f t="shared" ref="B7:B12" si="0">B27</f>
        <v>12274.198</v>
      </c>
      <c r="C7" s="34"/>
      <c r="D7" s="38">
        <f>IF(ISERROR(TER_horeca_gas_kWh/1000),0,TER_horeca_gas_kWh/1000)*0.902</f>
        <v>19011.823820000001</v>
      </c>
      <c r="E7" s="34">
        <f>$C$27*'E Balans VL '!I9/100/3.6*1000000</f>
        <v>636.94205820263767</v>
      </c>
      <c r="F7" s="34">
        <f>$C$27*('E Balans VL '!L9+'E Balans VL '!N9)/100/3.6*1000000</f>
        <v>2800.9808898022097</v>
      </c>
      <c r="G7" s="35"/>
      <c r="H7" s="34"/>
      <c r="I7" s="34"/>
      <c r="J7" s="34">
        <f>$C$27*('E Balans VL '!D9+'E Balans VL '!E9)/100/3.6*1000000</f>
        <v>0</v>
      </c>
      <c r="K7" s="34"/>
      <c r="L7" s="34"/>
      <c r="M7" s="34"/>
      <c r="N7" s="34">
        <f>$C$27*'E Balans VL '!Y9/100/3.6*1000000</f>
        <v>1.2961496839033668</v>
      </c>
      <c r="O7" s="34"/>
      <c r="P7" s="34"/>
      <c r="R7" s="33"/>
    </row>
    <row r="8" spans="1:18">
      <c r="A8" s="6" t="s">
        <v>52</v>
      </c>
      <c r="B8" s="38">
        <f t="shared" si="0"/>
        <v>47373.120999999999</v>
      </c>
      <c r="C8" s="34"/>
      <c r="D8" s="38">
        <f>IF(ISERROR(TER_handel_gas_kWh/1000),0,TER_handel_gas_kWh/1000)*0.902</f>
        <v>25654.764278000002</v>
      </c>
      <c r="E8" s="34">
        <f>$C$28*'E Balans VL '!I13/100/3.6*1000000</f>
        <v>255.11007796784656</v>
      </c>
      <c r="F8" s="34">
        <f>$C$28*('E Balans VL '!L13+'E Balans VL '!N13)/100/3.6*1000000</f>
        <v>9660.78717425992</v>
      </c>
      <c r="G8" s="35"/>
      <c r="H8" s="34"/>
      <c r="I8" s="34"/>
      <c r="J8" s="34">
        <f>$C$28*('E Balans VL '!D13+'E Balans VL '!E13)/100/3.6*1000000</f>
        <v>0</v>
      </c>
      <c r="K8" s="34"/>
      <c r="L8" s="34"/>
      <c r="M8" s="34"/>
      <c r="N8" s="34">
        <f>$C$28*'E Balans VL '!Y13/100/3.6*1000000</f>
        <v>235.56151370455234</v>
      </c>
      <c r="O8" s="34"/>
      <c r="P8" s="34"/>
      <c r="R8" s="33"/>
    </row>
    <row r="9" spans="1:18">
      <c r="A9" s="33" t="s">
        <v>51</v>
      </c>
      <c r="B9" s="38">
        <f t="shared" si="0"/>
        <v>3962.614</v>
      </c>
      <c r="C9" s="34"/>
      <c r="D9" s="38">
        <f>IF(ISERROR(TER_gezond_gas_kWh/1000),0,TER_gezond_gas_kWh/1000)*0.902</f>
        <v>6648.2721799999999</v>
      </c>
      <c r="E9" s="34">
        <f>$C$29*'E Balans VL '!I10/100/3.6*1000000</f>
        <v>3.9269955366599105</v>
      </c>
      <c r="F9" s="34">
        <f>$C$29*('E Balans VL '!L10+'E Balans VL '!N10)/100/3.6*1000000</f>
        <v>1374.9128400333484</v>
      </c>
      <c r="G9" s="35"/>
      <c r="H9" s="34"/>
      <c r="I9" s="34"/>
      <c r="J9" s="34">
        <f>$C$29*('E Balans VL '!D10+'E Balans VL '!E10)/100/3.6*1000000</f>
        <v>0</v>
      </c>
      <c r="K9" s="34"/>
      <c r="L9" s="34"/>
      <c r="M9" s="34"/>
      <c r="N9" s="34">
        <f>$C$29*'E Balans VL '!Y10/100/3.6*1000000</f>
        <v>34.145501558394969</v>
      </c>
      <c r="O9" s="34"/>
      <c r="P9" s="34"/>
      <c r="R9" s="33"/>
    </row>
    <row r="10" spans="1:18">
      <c r="A10" s="33" t="s">
        <v>50</v>
      </c>
      <c r="B10" s="38">
        <f t="shared" si="0"/>
        <v>18507.760999999999</v>
      </c>
      <c r="C10" s="34"/>
      <c r="D10" s="38">
        <f>IF(ISERROR(TER_ander_gas_kWh/1000),0,TER_ander_gas_kWh/1000)*0.902</f>
        <v>15250.948350000001</v>
      </c>
      <c r="E10" s="34">
        <f>$C$30*'E Balans VL '!I14/100/3.6*1000000</f>
        <v>151.41198216978958</v>
      </c>
      <c r="F10" s="34">
        <f>$C$30*('E Balans VL '!L14+'E Balans VL '!N14)/100/3.6*1000000</f>
        <v>5410.9158342430965</v>
      </c>
      <c r="G10" s="35"/>
      <c r="H10" s="34"/>
      <c r="I10" s="34"/>
      <c r="J10" s="34">
        <f>$C$30*('E Balans VL '!D14+'E Balans VL '!E14)/100/3.6*1000000</f>
        <v>0</v>
      </c>
      <c r="K10" s="34"/>
      <c r="L10" s="34"/>
      <c r="M10" s="34"/>
      <c r="N10" s="34">
        <f>$C$30*'E Balans VL '!Y14/100/3.6*1000000</f>
        <v>10676.549673568546</v>
      </c>
      <c r="O10" s="34"/>
      <c r="P10" s="34"/>
      <c r="R10" s="33"/>
    </row>
    <row r="11" spans="1:18">
      <c r="A11" s="33" t="s">
        <v>55</v>
      </c>
      <c r="B11" s="38">
        <f t="shared" si="0"/>
        <v>4774.8429999999998</v>
      </c>
      <c r="C11" s="34"/>
      <c r="D11" s="38">
        <f>IF(ISERROR(TER_onderwijs_gas_kWh/1000),0,TER_onderwijs_gas_kWh/1000)*0.902</f>
        <v>4563.6202919999996</v>
      </c>
      <c r="E11" s="34">
        <f>$C$31*'E Balans VL '!I11/100/3.6*1000000</f>
        <v>2.9430117545714594</v>
      </c>
      <c r="F11" s="34">
        <f>$C$31*('E Balans VL '!L11+'E Balans VL '!N11)/100/3.6*1000000</f>
        <v>1846.0316308034148</v>
      </c>
      <c r="G11" s="35"/>
      <c r="H11" s="34"/>
      <c r="I11" s="34"/>
      <c r="J11" s="34">
        <f>$C$31*('E Balans VL '!D11+'E Balans VL '!E11)/100/3.6*1000000</f>
        <v>0</v>
      </c>
      <c r="K11" s="34"/>
      <c r="L11" s="34"/>
      <c r="M11" s="34"/>
      <c r="N11" s="34">
        <f>$C$31*'E Balans VL '!Y11/100/3.6*1000000</f>
        <v>15.531541051992471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959.625</v>
      </c>
      <c r="C13" s="250">
        <f ca="1">'lokale energieproductie'!O91+'lokale energieproductie'!O60</f>
        <v>117.32142857142858</v>
      </c>
      <c r="D13" s="312">
        <f ca="1">('lokale energieproductie'!P60+'lokale energieproductie'!P91)*(-1)</f>
        <v>-234.64285714285717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-2507.1428571428573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153605.929</v>
      </c>
      <c r="C16" s="22">
        <f t="shared" ca="1" si="1"/>
        <v>117.32142857142858</v>
      </c>
      <c r="D16" s="22">
        <f t="shared" ca="1" si="1"/>
        <v>108481.40838885716</v>
      </c>
      <c r="E16" s="22">
        <f t="shared" si="1"/>
        <v>1158.2493839790554</v>
      </c>
      <c r="F16" s="22">
        <f t="shared" ca="1" si="1"/>
        <v>28844.45039631916</v>
      </c>
      <c r="G16" s="22">
        <f t="shared" si="1"/>
        <v>0</v>
      </c>
      <c r="H16" s="22">
        <f t="shared" si="1"/>
        <v>0</v>
      </c>
      <c r="I16" s="22">
        <f t="shared" si="1"/>
        <v>0</v>
      </c>
      <c r="J16" s="22">
        <f t="shared" si="1"/>
        <v>0</v>
      </c>
      <c r="K16" s="22">
        <f t="shared" si="1"/>
        <v>0</v>
      </c>
      <c r="L16" s="22">
        <f t="shared" ca="1" si="1"/>
        <v>0</v>
      </c>
      <c r="M16" s="22">
        <f t="shared" si="1"/>
        <v>0</v>
      </c>
      <c r="N16" s="22">
        <f t="shared" ca="1" si="1"/>
        <v>8469.2267596773054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0.20488162478619154</v>
      </c>
      <c r="C18" s="26">
        <f ca="1">'EF ele_warmte'!B22</f>
        <v>0.23707701533453271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31471.032310312377</v>
      </c>
      <c r="C20" s="24">
        <f t="shared" ref="C20:P20" ca="1" si="2">C16*C18</f>
        <v>27.814214120497859</v>
      </c>
      <c r="D20" s="24">
        <f t="shared" ca="1" si="2"/>
        <v>21913.244494549148</v>
      </c>
      <c r="E20" s="24">
        <f t="shared" si="2"/>
        <v>262.92261016324557</v>
      </c>
      <c r="F20" s="24">
        <f t="shared" ca="1" si="2"/>
        <v>7701.4682558172162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65753.767000000007</v>
      </c>
      <c r="C26" s="40">
        <f>IF(ISERROR(B26*3.6/1000000/'E Balans VL '!Z12*100),0,B26*3.6/1000000/'E Balans VL '!Z12*100)</f>
        <v>1.3972203946824442</v>
      </c>
      <c r="D26" s="240" t="s">
        <v>707</v>
      </c>
      <c r="F26" s="6"/>
    </row>
    <row r="27" spans="1:18">
      <c r="A27" s="234" t="s">
        <v>53</v>
      </c>
      <c r="B27" s="34">
        <f>IF(ISERROR(TER_horeca_ele_kWh/1000),0,TER_horeca_ele_kWh/1000)</f>
        <v>12274.198</v>
      </c>
      <c r="C27" s="40">
        <f>IF(ISERROR(B27*3.6/1000000/'E Balans VL '!Z9*100),0,B27*3.6/1000000/'E Balans VL '!Z9*100)</f>
        <v>0.96607429856151583</v>
      </c>
      <c r="D27" s="240" t="s">
        <v>707</v>
      </c>
      <c r="F27" s="6"/>
    </row>
    <row r="28" spans="1:18">
      <c r="A28" s="174" t="s">
        <v>52</v>
      </c>
      <c r="B28" s="34">
        <f>IF(ISERROR(TER_handel_ele_kWh/1000),0,TER_handel_ele_kWh/1000)</f>
        <v>47373.120999999999</v>
      </c>
      <c r="C28" s="40">
        <f>IF(ISERROR(B28*3.6/1000000/'E Balans VL '!Z13*100),0,B28*3.6/1000000/'E Balans VL '!Z13*100)</f>
        <v>1.3269464723034265</v>
      </c>
      <c r="D28" s="240" t="s">
        <v>707</v>
      </c>
      <c r="F28" s="6"/>
    </row>
    <row r="29" spans="1:18">
      <c r="A29" s="234" t="s">
        <v>51</v>
      </c>
      <c r="B29" s="34">
        <f>IF(ISERROR(TER_gezond_ele_kWh/1000),0,TER_gezond_ele_kWh/1000)</f>
        <v>3962.614</v>
      </c>
      <c r="C29" s="40">
        <f>IF(ISERROR(B29*3.6/1000000/'E Balans VL '!Z10*100),0,B29*3.6/1000000/'E Balans VL '!Z10*100)</f>
        <v>0.50693815522149621</v>
      </c>
      <c r="D29" s="240" t="s">
        <v>707</v>
      </c>
      <c r="F29" s="6"/>
    </row>
    <row r="30" spans="1:18">
      <c r="A30" s="234" t="s">
        <v>50</v>
      </c>
      <c r="B30" s="34">
        <f>IF(ISERROR(TER_ander_ele_kWh/1000),0,TER_ander_ele_kWh/1000)</f>
        <v>18507.760999999999</v>
      </c>
      <c r="C30" s="40">
        <f>IF(ISERROR(B30*3.6/1000000/'E Balans VL '!Z14*100),0,B30*3.6/1000000/'E Balans VL '!Z14*100)</f>
        <v>1.3842245736815542</v>
      </c>
      <c r="D30" s="240" t="s">
        <v>707</v>
      </c>
      <c r="F30" s="6"/>
    </row>
    <row r="31" spans="1:18">
      <c r="A31" s="234" t="s">
        <v>55</v>
      </c>
      <c r="B31" s="34">
        <f>IF(ISERROR(TER_onderwijs_ele_kWh/1000),0,TER_onderwijs_ele_kWh/1000)</f>
        <v>4774.8429999999998</v>
      </c>
      <c r="C31" s="40">
        <f>IF(ISERROR(B31*3.6/1000000/'E Balans VL '!Z11*100),0,B31*3.6/1000000/'E Balans VL '!Z11*100)</f>
        <v>1.008214284452611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248070.40000000002</v>
      </c>
      <c r="C5" s="18">
        <f>IF(ISERROR('Eigen informatie GS &amp; warmtenet'!B59),0,'Eigen informatie GS &amp; warmtenet'!B59)</f>
        <v>0</v>
      </c>
      <c r="D5" s="31">
        <f>SUM(D6:D15)</f>
        <v>98782.813227999999</v>
      </c>
      <c r="E5" s="18">
        <f>SUM(E6:E15)</f>
        <v>2271.8268515824789</v>
      </c>
      <c r="F5" s="18">
        <f>SUM(F6:F15)</f>
        <v>92705.740568031499</v>
      </c>
      <c r="G5" s="19"/>
      <c r="H5" s="18"/>
      <c r="I5" s="18"/>
      <c r="J5" s="18">
        <f>SUM(J6:J15)</f>
        <v>941.97590212079569</v>
      </c>
      <c r="K5" s="18"/>
      <c r="L5" s="18"/>
      <c r="M5" s="18"/>
      <c r="N5" s="18">
        <f>SUM(N6:N15)</f>
        <v>14451.913788023208</v>
      </c>
      <c r="O5" s="18">
        <f>B43*B44*B45</f>
        <v>0</v>
      </c>
      <c r="P5" s="18">
        <f>B51*B52*B53/1000-B51*B52*B53/1000/B54</f>
        <v>0</v>
      </c>
      <c r="R5" s="33"/>
    </row>
    <row r="6" spans="1:18">
      <c r="A6" s="6" t="s">
        <v>35</v>
      </c>
      <c r="B6" s="38">
        <f>IF( ISERROR(IND_ijzer_ele_kWh/1000),0,IND_ijzer_ele_kWh/1000)</f>
        <v>1442.335</v>
      </c>
      <c r="C6" s="34"/>
      <c r="D6" s="38">
        <f>IF( ISERROR(IND_ijzer_gas_kWh/1000),0,IND_ijzer_gas_kWh/1000)*0.902</f>
        <v>5657.525302</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56522.002</v>
      </c>
      <c r="C8" s="34"/>
      <c r="D8" s="38">
        <f>IF( ISERROR(IND_metaal_Gas_kWH/1000),0,IND_metaal_Gas_kWH/1000)*0.902</f>
        <v>54254.576595999999</v>
      </c>
      <c r="E8" s="34">
        <f>C30*'E Balans VL '!I18/100/3.6*1000000</f>
        <v>514.73568625094219</v>
      </c>
      <c r="F8" s="34">
        <f>C30*'E Balans VL '!L18/100/3.6*1000000+C30*'E Balans VL '!N18/100/3.6*1000000</f>
        <v>7454.8228283444605</v>
      </c>
      <c r="G8" s="35"/>
      <c r="H8" s="34"/>
      <c r="I8" s="34"/>
      <c r="J8" s="41">
        <f>C30*'E Balans VL '!D18/100/3.6*1000000+C30*'E Balans VL '!E18/100/3.6*1000000</f>
        <v>926.8787658082399</v>
      </c>
      <c r="K8" s="34"/>
      <c r="L8" s="34"/>
      <c r="M8" s="34"/>
      <c r="N8" s="34">
        <f>C30*'E Balans VL '!Y18/100/3.6*1000000</f>
        <v>194.24366756630258</v>
      </c>
      <c r="O8" s="34"/>
      <c r="P8" s="34"/>
      <c r="R8" s="33"/>
    </row>
    <row r="9" spans="1:18">
      <c r="A9" s="6" t="s">
        <v>33</v>
      </c>
      <c r="B9" s="38">
        <f t="shared" si="0"/>
        <v>100698.68399999999</v>
      </c>
      <c r="C9" s="34"/>
      <c r="D9" s="38">
        <f>IF( ISERROR(IND_andere_gas_kWh/1000),0,IND_andere_gas_kWh/1000)*0.902</f>
        <v>14549.175212000002</v>
      </c>
      <c r="E9" s="34">
        <f>C31*'E Balans VL '!I19/100/3.6*1000000</f>
        <v>582.05344169364446</v>
      </c>
      <c r="F9" s="34">
        <f>C31*'E Balans VL '!L19/100/3.6*1000000+C31*'E Balans VL '!N19/100/3.6*1000000</f>
        <v>80110.648550933416</v>
      </c>
      <c r="G9" s="35"/>
      <c r="H9" s="34"/>
      <c r="I9" s="34"/>
      <c r="J9" s="41">
        <f>C31*'E Balans VL '!D19/100/3.6*1000000+C31*'E Balans VL '!E19/100/3.6*1000000</f>
        <v>9.5249769770991257</v>
      </c>
      <c r="K9" s="34"/>
      <c r="L9" s="34"/>
      <c r="M9" s="34"/>
      <c r="N9" s="34">
        <f>C31*'E Balans VL '!Y19/100/3.6*1000000</f>
        <v>7629.4492171246911</v>
      </c>
      <c r="O9" s="34"/>
      <c r="P9" s="34"/>
      <c r="R9" s="33"/>
    </row>
    <row r="10" spans="1:18">
      <c r="A10" s="6" t="s">
        <v>41</v>
      </c>
      <c r="B10" s="38">
        <f t="shared" si="0"/>
        <v>7309.7380000000003</v>
      </c>
      <c r="C10" s="34"/>
      <c r="D10" s="38">
        <f>IF( ISERROR(IND_voed_gas_kWh/1000),0,IND_voed_gas_kWh/1000)*0.902</f>
        <v>4677.51944</v>
      </c>
      <c r="E10" s="34">
        <f>C32*'E Balans VL '!I20/100/3.6*1000000</f>
        <v>71.873847920678884</v>
      </c>
      <c r="F10" s="34">
        <f>C32*'E Balans VL '!L20/100/3.6*1000000+C32*'E Balans VL '!N20/100/3.6*1000000</f>
        <v>811.84181631070965</v>
      </c>
      <c r="G10" s="35"/>
      <c r="H10" s="34"/>
      <c r="I10" s="34"/>
      <c r="J10" s="41">
        <f>C32*'E Balans VL '!D20/100/3.6*1000000+C32*'E Balans VL '!E20/100/3.6*1000000</f>
        <v>2.8810995879374943E-2</v>
      </c>
      <c r="K10" s="34"/>
      <c r="L10" s="34"/>
      <c r="M10" s="34"/>
      <c r="N10" s="34">
        <f>C32*'E Balans VL '!Y20/100/3.6*1000000</f>
        <v>108.24002546381023</v>
      </c>
      <c r="O10" s="34"/>
      <c r="P10" s="34"/>
      <c r="R10" s="33"/>
    </row>
    <row r="11" spans="1:18">
      <c r="A11" s="6" t="s">
        <v>40</v>
      </c>
      <c r="B11" s="38">
        <f t="shared" si="0"/>
        <v>110.965</v>
      </c>
      <c r="C11" s="34"/>
      <c r="D11" s="38">
        <f>IF( ISERROR(IND_textiel_gas_kWh/1000),0,IND_textiel_gas_kWh/1000)*0.902</f>
        <v>7428.6401860000005</v>
      </c>
      <c r="E11" s="34">
        <f>C33*'E Balans VL '!I21/100/3.6*1000000</f>
        <v>0.21607462183267032</v>
      </c>
      <c r="F11" s="34">
        <f>C33*'E Balans VL '!L21/100/3.6*1000000+C33*'E Balans VL '!N21/100/3.6*1000000</f>
        <v>3.6599898320450128</v>
      </c>
      <c r="G11" s="35"/>
      <c r="H11" s="34"/>
      <c r="I11" s="34"/>
      <c r="J11" s="41">
        <f>C33*'E Balans VL '!D21/100/3.6*1000000+C33*'E Balans VL '!E21/100/3.6*1000000</f>
        <v>0</v>
      </c>
      <c r="K11" s="34"/>
      <c r="L11" s="34"/>
      <c r="M11" s="34"/>
      <c r="N11" s="34">
        <f>C33*'E Balans VL '!Y21/100/3.6*1000000</f>
        <v>1.1509989076233997</v>
      </c>
      <c r="O11" s="34"/>
      <c r="P11" s="34"/>
      <c r="R11" s="33"/>
    </row>
    <row r="12" spans="1:18">
      <c r="A12" s="6" t="s">
        <v>37</v>
      </c>
      <c r="B12" s="38">
        <f t="shared" si="0"/>
        <v>839.36699999999996</v>
      </c>
      <c r="C12" s="34"/>
      <c r="D12" s="38">
        <f>IF( ISERROR(IND_min_gas_kWh/1000),0,IND_min_gas_kWh/1000)*0.902</f>
        <v>568.44942000000003</v>
      </c>
      <c r="E12" s="34">
        <f>C34*'E Balans VL '!I22/100/3.6*1000000</f>
        <v>21.279447099445033</v>
      </c>
      <c r="F12" s="34">
        <f>C34*'E Balans VL '!L22/100/3.6*1000000+C34*'E Balans VL '!N22/100/3.6*1000000</f>
        <v>232.25577458945381</v>
      </c>
      <c r="G12" s="35"/>
      <c r="H12" s="34"/>
      <c r="I12" s="34"/>
      <c r="J12" s="41">
        <f>C34*'E Balans VL '!D22/100/3.6*1000000+C34*'E Balans VL '!E22/100/3.6*1000000</f>
        <v>5.5433483395774434</v>
      </c>
      <c r="K12" s="34"/>
      <c r="L12" s="34"/>
      <c r="M12" s="34"/>
      <c r="N12" s="34">
        <f>C34*'E Balans VL '!Y22/100/3.6*1000000</f>
        <v>0</v>
      </c>
      <c r="O12" s="34"/>
      <c r="P12" s="34"/>
      <c r="R12" s="33"/>
    </row>
    <row r="13" spans="1:18">
      <c r="A13" s="6" t="s">
        <v>39</v>
      </c>
      <c r="B13" s="38">
        <f t="shared" si="0"/>
        <v>17665.476999999999</v>
      </c>
      <c r="C13" s="34"/>
      <c r="D13" s="38">
        <f>IF( ISERROR(IND_papier_gas_kWh/1000),0,IND_papier_gas_kWh/1000)*0.902</f>
        <v>6313.1575320000002</v>
      </c>
      <c r="E13" s="34">
        <f>C35*'E Balans VL '!I23/100/3.6*1000000</f>
        <v>601.71175990568702</v>
      </c>
      <c r="F13" s="34">
        <f>C35*'E Balans VL '!L23/100/3.6*1000000+C35*'E Balans VL '!N23/100/3.6*1000000</f>
        <v>2917.9222005793067</v>
      </c>
      <c r="G13" s="35"/>
      <c r="H13" s="34"/>
      <c r="I13" s="34"/>
      <c r="J13" s="41">
        <f>C35*'E Balans VL '!D23/100/3.6*1000000+C35*'E Balans VL '!E23/100/3.6*1000000</f>
        <v>0</v>
      </c>
      <c r="K13" s="34"/>
      <c r="L13" s="34"/>
      <c r="M13" s="34"/>
      <c r="N13" s="34">
        <f>C35*'E Balans VL '!Y23/100/3.6*1000000</f>
        <v>6500.4217846320907</v>
      </c>
      <c r="O13" s="34"/>
      <c r="P13" s="34"/>
      <c r="R13" s="33"/>
    </row>
    <row r="14" spans="1:18">
      <c r="A14" s="6" t="s">
        <v>34</v>
      </c>
      <c r="B14" s="38">
        <f t="shared" si="0"/>
        <v>63481.832000000002</v>
      </c>
      <c r="C14" s="34"/>
      <c r="D14" s="38">
        <f>IF( ISERROR(IND_chemie_gas_kWh/1000),0,IND_chemie_gas_kWh/1000)*0.902</f>
        <v>0</v>
      </c>
      <c r="E14" s="34">
        <f>C36*'E Balans VL '!I24/100/3.6*1000000</f>
        <v>479.9565940902491</v>
      </c>
      <c r="F14" s="34">
        <f>C36*'E Balans VL '!L24/100/3.6*1000000+C36*'E Balans VL '!N24/100/3.6*1000000</f>
        <v>1174.589407442093</v>
      </c>
      <c r="G14" s="35"/>
      <c r="H14" s="34"/>
      <c r="I14" s="34"/>
      <c r="J14" s="41">
        <f>C36*'E Balans VL '!D24/100/3.6*1000000+C36*'E Balans VL '!E24/100/3.6*1000000</f>
        <v>0</v>
      </c>
      <c r="K14" s="34"/>
      <c r="L14" s="34"/>
      <c r="M14" s="34"/>
      <c r="N14" s="34">
        <f>C36*'E Balans VL '!Y24/100/3.6*1000000</f>
        <v>18.408094328689934</v>
      </c>
      <c r="O14" s="34"/>
      <c r="P14" s="34"/>
      <c r="R14" s="33"/>
    </row>
    <row r="15" spans="1:18">
      <c r="A15" s="6" t="s">
        <v>270</v>
      </c>
      <c r="B15" s="38">
        <f t="shared" si="0"/>
        <v>0</v>
      </c>
      <c r="C15" s="34"/>
      <c r="D15" s="38">
        <f>IF( ISERROR(IND_rest_gas_kWh/1000),0,IND_rest_gas_kWh/1000)*0.902</f>
        <v>5333.7695400000002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248070.40000000002</v>
      </c>
      <c r="C18" s="22">
        <f>C5+C16</f>
        <v>0</v>
      </c>
      <c r="D18" s="22">
        <f>MAX((D5+D16),0)</f>
        <v>98782.813227999999</v>
      </c>
      <c r="E18" s="22">
        <f>MAX((E5+E16),0)</f>
        <v>2271.8268515824789</v>
      </c>
      <c r="F18" s="22">
        <f>MAX((F5+F16),0)</f>
        <v>92705.740568031499</v>
      </c>
      <c r="G18" s="22"/>
      <c r="H18" s="22"/>
      <c r="I18" s="22"/>
      <c r="J18" s="22">
        <f>MAX((J5+J16),0)</f>
        <v>941.97590212079569</v>
      </c>
      <c r="K18" s="22"/>
      <c r="L18" s="22">
        <f>MAX((L5+L16),0)</f>
        <v>0</v>
      </c>
      <c r="M18" s="22"/>
      <c r="N18" s="22">
        <f>MAX((N5+N16),0)</f>
        <v>14451.913788023208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0.20488162478619154</v>
      </c>
      <c r="C20" s="26">
        <f ca="1">'EF ele_warmte'!B22</f>
        <v>0.23707701533453271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50825.066613360454</v>
      </c>
      <c r="C22" s="24">
        <f ca="1">C18*C20</f>
        <v>0</v>
      </c>
      <c r="D22" s="24">
        <f>D18*D20</f>
        <v>19954.128272056001</v>
      </c>
      <c r="E22" s="24">
        <f>E18*E20</f>
        <v>515.70469530922276</v>
      </c>
      <c r="F22" s="24">
        <f>F18*F20</f>
        <v>24752.432731664412</v>
      </c>
      <c r="G22" s="24"/>
      <c r="H22" s="24"/>
      <c r="I22" s="24"/>
      <c r="J22" s="24">
        <f>J18*J20</f>
        <v>333.45946935076165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56522.002</v>
      </c>
      <c r="C30" s="40">
        <f>IF(ISERROR(B30*3.6/1000000/'E Balans VL '!Z18*100),0,B30*3.6/1000000/'E Balans VL '!Z18*100)</f>
        <v>3.145071451915419</v>
      </c>
      <c r="D30" s="240" t="s">
        <v>707</v>
      </c>
    </row>
    <row r="31" spans="1:18">
      <c r="A31" s="6" t="s">
        <v>33</v>
      </c>
      <c r="B31" s="38">
        <f>IF( ISERROR(IND_ander_ele_kWh/1000),0,IND_ander_ele_kWh/1000)</f>
        <v>100698.68399999999</v>
      </c>
      <c r="C31" s="40">
        <f>IF(ISERROR(B31*3.6/1000000/'E Balans VL '!Z19*100),0,B31*3.6/1000000/'E Balans VL '!Z19*100)</f>
        <v>4.6812173539326762</v>
      </c>
      <c r="D31" s="240" t="s">
        <v>707</v>
      </c>
    </row>
    <row r="32" spans="1:18">
      <c r="A32" s="174" t="s">
        <v>41</v>
      </c>
      <c r="B32" s="38">
        <f>IF( ISERROR(IND_voed_ele_kWh/1000),0,IND_voed_ele_kWh/1000)</f>
        <v>7309.7380000000003</v>
      </c>
      <c r="C32" s="40">
        <f>IF(ISERROR(B32*3.6/1000000/'E Balans VL '!Z20*100),0,B32*3.6/1000000/'E Balans VL '!Z20*100)</f>
        <v>0.25838447565890471</v>
      </c>
      <c r="D32" s="240" t="s">
        <v>707</v>
      </c>
    </row>
    <row r="33" spans="1:5">
      <c r="A33" s="174" t="s">
        <v>40</v>
      </c>
      <c r="B33" s="38">
        <f>IF( ISERROR(IND_textiel_ele_kWh/1000),0,IND_textiel_ele_kWh/1000)</f>
        <v>110.965</v>
      </c>
      <c r="C33" s="40">
        <f>IF(ISERROR(B33*3.6/1000000/'E Balans VL '!Z21*100),0,B33*3.6/1000000/'E Balans VL '!Z21*100)</f>
        <v>1.4987507025877089E-2</v>
      </c>
      <c r="D33" s="240" t="s">
        <v>707</v>
      </c>
    </row>
    <row r="34" spans="1:5">
      <c r="A34" s="174" t="s">
        <v>37</v>
      </c>
      <c r="B34" s="38">
        <f>IF( ISERROR(IND_min_ele_kWh/1000),0,IND_min_ele_kWh/1000)</f>
        <v>839.36699999999996</v>
      </c>
      <c r="C34" s="40">
        <f>IF(ISERROR(B34*3.6/1000000/'E Balans VL '!Z22*100),0,B34*3.6/1000000/'E Balans VL '!Z22*100)</f>
        <v>0.1686890976502477</v>
      </c>
      <c r="D34" s="240" t="s">
        <v>707</v>
      </c>
    </row>
    <row r="35" spans="1:5">
      <c r="A35" s="174" t="s">
        <v>39</v>
      </c>
      <c r="B35" s="38">
        <f>IF( ISERROR(IND_papier_ele_kWh/1000),0,IND_papier_ele_kWh/1000)</f>
        <v>17665.476999999999</v>
      </c>
      <c r="C35" s="40">
        <f>IF(ISERROR(B35*3.6/1000000/'E Balans VL '!Z22*100),0,B35*3.6/1000000/'E Balans VL '!Z22*100)</f>
        <v>3.5502627273781369</v>
      </c>
      <c r="D35" s="240" t="s">
        <v>707</v>
      </c>
    </row>
    <row r="36" spans="1:5">
      <c r="A36" s="174" t="s">
        <v>34</v>
      </c>
      <c r="B36" s="38">
        <f>IF( ISERROR(IND_chemie_ele_kWh/1000),0,IND_chemie_ele_kWh/1000)</f>
        <v>63481.832000000002</v>
      </c>
      <c r="C36" s="40">
        <f>IF(ISERROR(B36*3.6/1000000/'E Balans VL '!Z24*100),0,B36*3.6/1000000/'E Balans VL '!Z24*100)</f>
        <v>1.563254322660347</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407.334</v>
      </c>
      <c r="C5" s="18">
        <f>'Eigen informatie GS &amp; warmtenet'!B60</f>
        <v>0</v>
      </c>
      <c r="D5" s="31">
        <f>IF(ISERROR(SUM(LB_lb_gas_kWh,LB_rest_gas_kWh)/1000),0,SUM(LB_lb_gas_kWh,LB_rest_gas_kWh)/1000)*0.902</f>
        <v>890.32992400000001</v>
      </c>
      <c r="E5" s="18">
        <f>B17*'E Balans VL '!I25/3.6*1000000/100</f>
        <v>3.8373592027327108</v>
      </c>
      <c r="F5" s="18">
        <f>B17*('E Balans VL '!L25/3.6*1000000+'E Balans VL '!N25/3.6*1000000)/100</f>
        <v>1329.2660242824509</v>
      </c>
      <c r="G5" s="19"/>
      <c r="H5" s="18"/>
      <c r="I5" s="18"/>
      <c r="J5" s="18">
        <f>('E Balans VL '!D25+'E Balans VL '!E25)/3.6*1000000*landbouw!B17/100</f>
        <v>50.389197072195408</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407.334</v>
      </c>
      <c r="C8" s="22">
        <f>C5+C6</f>
        <v>7.5</v>
      </c>
      <c r="D8" s="22">
        <f>MAX((D5+D6),0)</f>
        <v>880.32992400000001</v>
      </c>
      <c r="E8" s="22">
        <f>MAX((E5+E6),0)</f>
        <v>3.8373592027327108</v>
      </c>
      <c r="F8" s="22">
        <f>MAX((F5+F6),0)</f>
        <v>1329.2660242824509</v>
      </c>
      <c r="G8" s="22"/>
      <c r="H8" s="22"/>
      <c r="I8" s="22"/>
      <c r="J8" s="22">
        <f>MAX((J5+J6),0)</f>
        <v>50.389197072195408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0.20488162478619154</v>
      </c>
      <c r="C10" s="32">
        <f ca="1">'EF ele_warmte'!B22</f>
        <v>0.23707701533453271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83.455251750658547</v>
      </c>
      <c r="C12" s="24">
        <f ca="1">C8*C10</f>
        <v>1.7780776150089954</v>
      </c>
      <c r="D12" s="24">
        <f>D8*D10</f>
        <v>177.82664464800001</v>
      </c>
      <c r="E12" s="24">
        <f>E8*E10</f>
        <v>0.87108053902032534</v>
      </c>
      <c r="F12" s="24">
        <f>F8*F10</f>
        <v>354.91402848341443</v>
      </c>
      <c r="G12" s="24"/>
      <c r="H12" s="24"/>
      <c r="I12" s="24"/>
      <c r="J12" s="24">
        <f>J8*J10</f>
        <v>17.837775763557172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5.5146514610752657E-2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5.1569564454599561</v>
      </c>
      <c r="C26" s="250">
        <f>B26*'GWP N2O_CH4'!B5</f>
        <v>108.29608535465908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0.41558567772218558</v>
      </c>
      <c r="C27" s="250">
        <f>B27*'GWP N2O_CH4'!B5</f>
        <v>8.7272992321658975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6.1752767157343041E-2</v>
      </c>
      <c r="C28" s="250">
        <f>B28*'GWP N2O_CH4'!B4</f>
        <v>19.143357818776344</v>
      </c>
      <c r="D28" s="51"/>
    </row>
    <row r="29" spans="1:4">
      <c r="A29" s="42" t="s">
        <v>277</v>
      </c>
      <c r="B29" s="250">
        <f>B34*'ha_N2O bodem landbouw'!B4</f>
        <v>1.6932170102211233</v>
      </c>
      <c r="C29" s="250">
        <f>B29*'GWP N2O_CH4'!B4</f>
        <v>524.89727316854817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4.571152898364063E-4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3.4904188585457163E-5</v>
      </c>
      <c r="C5" s="447" t="s">
        <v>211</v>
      </c>
      <c r="D5" s="432">
        <f>SUM(D6:D11)</f>
        <v>9.556623443801456E-5</v>
      </c>
      <c r="E5" s="432">
        <f>SUM(E6:E11)</f>
        <v>5.966400259211811E-3</v>
      </c>
      <c r="F5" s="445" t="s">
        <v>211</v>
      </c>
      <c r="G5" s="432">
        <f>SUM(G6:G11)</f>
        <v>1.2593172634120948</v>
      </c>
      <c r="H5" s="432">
        <f>SUM(H6:H11)</f>
        <v>0.21621757264449612</v>
      </c>
      <c r="I5" s="447" t="s">
        <v>211</v>
      </c>
      <c r="J5" s="447" t="s">
        <v>211</v>
      </c>
      <c r="K5" s="447" t="s">
        <v>211</v>
      </c>
      <c r="L5" s="447" t="s">
        <v>211</v>
      </c>
      <c r="M5" s="432">
        <f>SUM(M6:M11)</f>
        <v>6.596833383265624E-2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1.9270971603594024E-5</v>
      </c>
      <c r="C6" s="433"/>
      <c r="D6" s="433">
        <f>vkm_2011_GW_PW*SUMIFS(TableVerdeelsleutelVkm[CNG],TableVerdeelsleutelVkm[Voertuigtype],"Lichte voertuigen")*SUMIFS(TableECFTransport[EnergieConsumptieFactor (PJ per km)],TableECFTransport[Index],CONCATENATE($A6,"_CNG_CNG"))</f>
        <v>4.7060035388989407E-5</v>
      </c>
      <c r="E6" s="435">
        <f>vkm_2011_GW_PW*SUMIFS(TableVerdeelsleutelVkm[LPG],TableVerdeelsleutelVkm[Voertuigtype],"Lichte voertuigen")*SUMIFS(TableECFTransport[EnergieConsumptieFactor (PJ per km)],TableECFTransport[Index],CONCATENATE($A6,"_LPG_LPG"))</f>
        <v>2.7894756981367056E-3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0.40325152609716941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0.10568063978832712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2.2790919644421703E-2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0.1871608404821285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7.5512102346693693E-5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8.3379575363202452E-3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4.8520361383049487E-6</v>
      </c>
      <c r="C8" s="433"/>
      <c r="D8" s="435">
        <f>vkm_2011_NGW_PW*SUMIFS(TableVerdeelsleutelVkm[CNG],TableVerdeelsleutelVkm[Voertuigtype],"Lichte voertuigen")*SUMIFS(TableECFTransport[EnergieConsumptieFactor (PJ per km)],TableECFTransport[Index],CONCATENATE($A8,"_CNG_CNG"))</f>
        <v>2.1258676908299008E-5</v>
      </c>
      <c r="E8" s="435">
        <f>vkm_2011_NGW_PW*SUMIFS(TableVerdeelsleutelVkm[LPG],TableVerdeelsleutelVkm[Voertuigtype],"Lichte voertuigen")*SUMIFS(TableECFTransport[EnergieConsumptieFactor (PJ per km)],TableECFTransport[Index],CONCATENATE($A8,"_LPG_LPG"))</f>
        <v>1.1560195198033426E-3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0.15787217966275799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4.5715372791835303E-2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9.121177174703031E-3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5.2831491144692839E-3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1.8559265818973588E-6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2.3535005220937173E-4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1.0781180843558192E-5</v>
      </c>
      <c r="C10" s="433"/>
      <c r="D10" s="435">
        <f>vkm_2011_SW_PW*SUMIFS(TableVerdeelsleutelVkm[CNG],TableVerdeelsleutelVkm[Voertuigtype],"Lichte voertuigen")*SUMIFS(TableECFTransport[EnergieConsumptieFactor (PJ per km)],TableECFTransport[Index],CONCATENATE($A10,"_CNG_CNG"))</f>
        <v>2.7247522140726138E-5</v>
      </c>
      <c r="E10" s="435">
        <f>vkm_2011_SW_PW*SUMIFS(TableVerdeelsleutelVkm[LPG],TableVerdeelsleutelVkm[Voertuigtype],"Lichte voertuigen")*SUMIFS(TableECFTransport[EnergieConsumptieFactor (PJ per km)],TableECFTransport[Index],CONCATENATE($A10,"_LPG_LPG"))</f>
        <v>2.0209050412717628E-3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0.26624293619816702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6.4641670887610414E-2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1.4812713701404231E-2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0.23950663185740265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1.0252114779467953E-4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1.0670215723597653E-2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9.6956079404047681</v>
      </c>
      <c r="C14" s="22"/>
      <c r="D14" s="22">
        <f t="shared" ref="D14:M14" si="0">((D5)*10^9/3600)+D12</f>
        <v>26.546176232781825</v>
      </c>
      <c r="E14" s="22">
        <f t="shared" si="0"/>
        <v>1657.3334053366143</v>
      </c>
      <c r="F14" s="22"/>
      <c r="G14" s="22">
        <f t="shared" si="0"/>
        <v>349810.35094780411</v>
      </c>
      <c r="H14" s="22">
        <f t="shared" si="0"/>
        <v>60060.436845693366</v>
      </c>
      <c r="I14" s="22"/>
      <c r="J14" s="22"/>
      <c r="K14" s="22"/>
      <c r="L14" s="22"/>
      <c r="M14" s="22">
        <f t="shared" si="0"/>
        <v>18324.537175737845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0.20488162478619154</v>
      </c>
      <c r="C16" s="57">
        <f ca="1">'EF ele_warmte'!B22</f>
        <v>0.23707701533453271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1.9864519081200291</v>
      </c>
      <c r="C18" s="24"/>
      <c r="D18" s="24">
        <f t="shared" ref="D18:M18" si="1">D14*D16</f>
        <v>5.3623275990219286</v>
      </c>
      <c r="E18" s="24">
        <f t="shared" si="1"/>
        <v>376.21468301141147</v>
      </c>
      <c r="F18" s="24"/>
      <c r="G18" s="24">
        <f t="shared" si="1"/>
        <v>93399.363703063704</v>
      </c>
      <c r="H18" s="24">
        <f t="shared" si="1"/>
        <v>14955.048774577648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5.7966256871042586E-2</v>
      </c>
      <c r="H50" s="323">
        <f t="shared" si="2"/>
        <v>0</v>
      </c>
      <c r="I50" s="323">
        <f t="shared" si="2"/>
        <v>0</v>
      </c>
      <c r="J50" s="323">
        <f t="shared" si="2"/>
        <v>0</v>
      </c>
      <c r="K50" s="323">
        <f t="shared" si="2"/>
        <v>0</v>
      </c>
      <c r="L50" s="323">
        <f t="shared" si="2"/>
        <v>0</v>
      </c>
      <c r="M50" s="323">
        <f t="shared" si="2"/>
        <v>2.5453939605294068E-3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5.7966256871042586E-2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2.5453939605294068E-3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16101.738019734052</v>
      </c>
      <c r="H54" s="22">
        <f t="shared" si="3"/>
        <v>0</v>
      </c>
      <c r="I54" s="22">
        <f t="shared" si="3"/>
        <v>0</v>
      </c>
      <c r="J54" s="22">
        <f t="shared" si="3"/>
        <v>0</v>
      </c>
      <c r="K54" s="22">
        <f t="shared" si="3"/>
        <v>0</v>
      </c>
      <c r="L54" s="22">
        <f t="shared" si="3"/>
        <v>0</v>
      </c>
      <c r="M54" s="22">
        <f t="shared" si="3"/>
        <v>707.05387792483532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0.20488162478619154</v>
      </c>
      <c r="C56" s="57">
        <f ca="1">'EF ele_warmte'!B22</f>
        <v>0.23707701533453271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4299.1640512689919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157432.087</v>
      </c>
      <c r="D10" s="688">
        <f ca="1">tertiair!C16</f>
        <v>117.32142857142858</v>
      </c>
      <c r="E10" s="688">
        <f ca="1">tertiair!D16</f>
        <v>108481.40838885716</v>
      </c>
      <c r="F10" s="688">
        <f>tertiair!E16</f>
        <v>1158.2493839790554</v>
      </c>
      <c r="G10" s="688">
        <f ca="1">tertiair!F16</f>
        <v>28844.45039631916</v>
      </c>
      <c r="H10" s="688">
        <f>tertiair!G16</f>
        <v>0</v>
      </c>
      <c r="I10" s="688">
        <f>tertiair!H16</f>
        <v>0</v>
      </c>
      <c r="J10" s="688">
        <f>tertiair!I16</f>
        <v>0</v>
      </c>
      <c r="K10" s="688">
        <f>tertiair!J16</f>
        <v>0</v>
      </c>
      <c r="L10" s="688">
        <f>tertiair!K16</f>
        <v>0</v>
      </c>
      <c r="M10" s="688">
        <f ca="1">tertiair!L16</f>
        <v>0</v>
      </c>
      <c r="N10" s="688">
        <f>tertiair!M16</f>
        <v>0</v>
      </c>
      <c r="O10" s="688">
        <f ca="1">tertiair!N16</f>
        <v>8469.2267596773054</v>
      </c>
      <c r="P10" s="688">
        <f>tertiair!O16</f>
        <v>0</v>
      </c>
      <c r="Q10" s="689">
        <f>tertiair!P16</f>
        <v>0</v>
      </c>
      <c r="R10" s="691">
        <f ca="1">SUM(C10:Q10)</f>
        <v>304502.74335740408</v>
      </c>
      <c r="S10" s="68"/>
    </row>
    <row r="11" spans="1:19" s="457" customFormat="1">
      <c r="A11" s="803" t="s">
        <v>225</v>
      </c>
      <c r="B11" s="808"/>
      <c r="C11" s="688">
        <f>huishoudens!B8</f>
        <v>133565.37322272448</v>
      </c>
      <c r="D11" s="688">
        <f>huishoudens!C8</f>
        <v>0</v>
      </c>
      <c r="E11" s="688">
        <f>huishoudens!D8</f>
        <v>148610.65975799999</v>
      </c>
      <c r="F11" s="688">
        <f>huishoudens!E8</f>
        <v>2701.1296345391088</v>
      </c>
      <c r="G11" s="688">
        <f>huishoudens!F8</f>
        <v>144207.75068951474</v>
      </c>
      <c r="H11" s="688">
        <f>huishoudens!G8</f>
        <v>0</v>
      </c>
      <c r="I11" s="688">
        <f>huishoudens!H8</f>
        <v>0</v>
      </c>
      <c r="J11" s="688">
        <f>huishoudens!I8</f>
        <v>0</v>
      </c>
      <c r="K11" s="688">
        <f>huishoudens!J8</f>
        <v>0</v>
      </c>
      <c r="L11" s="688">
        <f>huishoudens!K8</f>
        <v>0</v>
      </c>
      <c r="M11" s="688">
        <f>huishoudens!L8</f>
        <v>0</v>
      </c>
      <c r="N11" s="688">
        <f>huishoudens!M8</f>
        <v>0</v>
      </c>
      <c r="O11" s="688">
        <f>huishoudens!N8</f>
        <v>10935.000175948138</v>
      </c>
      <c r="P11" s="688">
        <f>huishoudens!O8</f>
        <v>304.85000000000002</v>
      </c>
      <c r="Q11" s="689">
        <f>huishoudens!P8</f>
        <v>1048.6666666666667</v>
      </c>
      <c r="R11" s="691">
        <f>SUM(C11:Q11)</f>
        <v>441373.43014739314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248070.40000000002</v>
      </c>
      <c r="D13" s="688">
        <f>industrie!C18</f>
        <v>0</v>
      </c>
      <c r="E13" s="688">
        <f>industrie!D18</f>
        <v>98782.813227999999</v>
      </c>
      <c r="F13" s="688">
        <f>industrie!E18</f>
        <v>2271.8268515824789</v>
      </c>
      <c r="G13" s="688">
        <f>industrie!F18</f>
        <v>92705.740568031499</v>
      </c>
      <c r="H13" s="688">
        <f>industrie!G18</f>
        <v>0</v>
      </c>
      <c r="I13" s="688">
        <f>industrie!H18</f>
        <v>0</v>
      </c>
      <c r="J13" s="688">
        <f>industrie!I18</f>
        <v>0</v>
      </c>
      <c r="K13" s="688">
        <f>industrie!J18</f>
        <v>941.97590212079569</v>
      </c>
      <c r="L13" s="688">
        <f>industrie!K18</f>
        <v>0</v>
      </c>
      <c r="M13" s="688">
        <f>industrie!L18</f>
        <v>0</v>
      </c>
      <c r="N13" s="688">
        <f>industrie!M18</f>
        <v>0</v>
      </c>
      <c r="O13" s="688">
        <f>industrie!N18</f>
        <v>14451.913788023208</v>
      </c>
      <c r="P13" s="688">
        <f>industrie!O18</f>
        <v>0</v>
      </c>
      <c r="Q13" s="689">
        <f>industrie!P18</f>
        <v>0</v>
      </c>
      <c r="R13" s="691">
        <f>SUM(C13:Q13)</f>
        <v>457224.67033775809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539067.8602227245</v>
      </c>
      <c r="D16" s="721">
        <f t="shared" ref="D16:R16" ca="1" si="0">SUM(D9:D15)</f>
        <v>117.32142857142858</v>
      </c>
      <c r="E16" s="721">
        <f t="shared" ca="1" si="0"/>
        <v>355874.88137485716</v>
      </c>
      <c r="F16" s="721">
        <f t="shared" si="0"/>
        <v>6131.2058701006426</v>
      </c>
      <c r="G16" s="721">
        <f t="shared" ca="1" si="0"/>
        <v>265757.94165386539</v>
      </c>
      <c r="H16" s="721">
        <f t="shared" si="0"/>
        <v>0</v>
      </c>
      <c r="I16" s="721">
        <f t="shared" si="0"/>
        <v>0</v>
      </c>
      <c r="J16" s="721">
        <f t="shared" si="0"/>
        <v>0</v>
      </c>
      <c r="K16" s="721">
        <f t="shared" si="0"/>
        <v>941.97590212079569</v>
      </c>
      <c r="L16" s="721">
        <f t="shared" si="0"/>
        <v>0</v>
      </c>
      <c r="M16" s="721">
        <f t="shared" ca="1" si="0"/>
        <v>0</v>
      </c>
      <c r="N16" s="721">
        <f t="shared" si="0"/>
        <v>0</v>
      </c>
      <c r="O16" s="721">
        <f t="shared" ca="1" si="0"/>
        <v>33856.140723648656</v>
      </c>
      <c r="P16" s="721">
        <f t="shared" si="0"/>
        <v>304.85000000000002</v>
      </c>
      <c r="Q16" s="721">
        <f t="shared" si="0"/>
        <v>1048.6666666666667</v>
      </c>
      <c r="R16" s="721">
        <f t="shared" ca="1" si="0"/>
        <v>1203100.8438425553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16101.738019734052</v>
      </c>
      <c r="I19" s="688">
        <f>transport!H54</f>
        <v>0</v>
      </c>
      <c r="J19" s="688">
        <f>transport!I54</f>
        <v>0</v>
      </c>
      <c r="K19" s="688">
        <f>transport!J54</f>
        <v>0</v>
      </c>
      <c r="L19" s="688">
        <f>transport!K54</f>
        <v>0</v>
      </c>
      <c r="M19" s="688">
        <f>transport!L54</f>
        <v>0</v>
      </c>
      <c r="N19" s="688">
        <f>transport!M54</f>
        <v>707.05387792483532</v>
      </c>
      <c r="O19" s="688">
        <f>transport!N54</f>
        <v>0</v>
      </c>
      <c r="P19" s="688">
        <f>transport!O54</f>
        <v>0</v>
      </c>
      <c r="Q19" s="689">
        <f>transport!P54</f>
        <v>0</v>
      </c>
      <c r="R19" s="691">
        <f>SUM(C19:Q19)</f>
        <v>16808.791897658888</v>
      </c>
      <c r="S19" s="68"/>
    </row>
    <row r="20" spans="1:19" s="457" customFormat="1">
      <c r="A20" s="803" t="s">
        <v>307</v>
      </c>
      <c r="B20" s="808"/>
      <c r="C20" s="688">
        <f>transport!B14</f>
        <v>9.6956079404047681</v>
      </c>
      <c r="D20" s="688">
        <f>transport!C14</f>
        <v>0</v>
      </c>
      <c r="E20" s="688">
        <f>transport!D14</f>
        <v>26.546176232781825</v>
      </c>
      <c r="F20" s="688">
        <f>transport!E14</f>
        <v>1657.3334053366143</v>
      </c>
      <c r="G20" s="688">
        <f>transport!F14</f>
        <v>0</v>
      </c>
      <c r="H20" s="688">
        <f>transport!G14</f>
        <v>349810.35094780411</v>
      </c>
      <c r="I20" s="688">
        <f>transport!H14</f>
        <v>60060.436845693366</v>
      </c>
      <c r="J20" s="688">
        <f>transport!I14</f>
        <v>0</v>
      </c>
      <c r="K20" s="688">
        <f>transport!J14</f>
        <v>0</v>
      </c>
      <c r="L20" s="688">
        <f>transport!K14</f>
        <v>0</v>
      </c>
      <c r="M20" s="688">
        <f>transport!L14</f>
        <v>0</v>
      </c>
      <c r="N20" s="688">
        <f>transport!M14</f>
        <v>18324.537175737845</v>
      </c>
      <c r="O20" s="688">
        <f>transport!N14</f>
        <v>0</v>
      </c>
      <c r="P20" s="688">
        <f>transport!O14</f>
        <v>0</v>
      </c>
      <c r="Q20" s="689">
        <f>transport!P14</f>
        <v>0</v>
      </c>
      <c r="R20" s="691">
        <f>SUM(C20:Q20)</f>
        <v>429888.90015874512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9.6956079404047681</v>
      </c>
      <c r="D22" s="806">
        <f t="shared" ref="D22:R22" si="1">SUM(D18:D21)</f>
        <v>0</v>
      </c>
      <c r="E22" s="806">
        <f t="shared" si="1"/>
        <v>26.546176232781825</v>
      </c>
      <c r="F22" s="806">
        <f t="shared" si="1"/>
        <v>1657.3334053366143</v>
      </c>
      <c r="G22" s="806">
        <f t="shared" si="1"/>
        <v>0</v>
      </c>
      <c r="H22" s="806">
        <f t="shared" si="1"/>
        <v>365912.08896753815</v>
      </c>
      <c r="I22" s="806">
        <f t="shared" si="1"/>
        <v>60060.436845693366</v>
      </c>
      <c r="J22" s="806">
        <f t="shared" si="1"/>
        <v>0</v>
      </c>
      <c r="K22" s="806">
        <f t="shared" si="1"/>
        <v>0</v>
      </c>
      <c r="L22" s="806">
        <f t="shared" si="1"/>
        <v>0</v>
      </c>
      <c r="M22" s="806">
        <f t="shared" si="1"/>
        <v>0</v>
      </c>
      <c r="N22" s="806">
        <f t="shared" si="1"/>
        <v>19031.59105366268</v>
      </c>
      <c r="O22" s="806">
        <f t="shared" si="1"/>
        <v>0</v>
      </c>
      <c r="P22" s="806">
        <f t="shared" si="1"/>
        <v>0</v>
      </c>
      <c r="Q22" s="806">
        <f t="shared" si="1"/>
        <v>0</v>
      </c>
      <c r="R22" s="806">
        <f t="shared" si="1"/>
        <v>446697.69205640402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407.334</v>
      </c>
      <c r="D24" s="688">
        <f>+landbouw!C8</f>
        <v>7.5</v>
      </c>
      <c r="E24" s="688">
        <f>+landbouw!D8</f>
        <v>880.32992400000001</v>
      </c>
      <c r="F24" s="688">
        <f>+landbouw!E8</f>
        <v>3.8373592027327108</v>
      </c>
      <c r="G24" s="688">
        <f>+landbouw!F8</f>
        <v>1329.2660242824509</v>
      </c>
      <c r="H24" s="688">
        <f>+landbouw!G8</f>
        <v>0</v>
      </c>
      <c r="I24" s="688">
        <f>+landbouw!H8</f>
        <v>0</v>
      </c>
      <c r="J24" s="688">
        <f>+landbouw!I8</f>
        <v>0</v>
      </c>
      <c r="K24" s="688">
        <f>+landbouw!J8</f>
        <v>50.389197072195408</v>
      </c>
      <c r="L24" s="688">
        <f>+landbouw!K8</f>
        <v>0</v>
      </c>
      <c r="M24" s="688">
        <f>+landbouw!L8</f>
        <v>0</v>
      </c>
      <c r="N24" s="688">
        <f>+landbouw!M8</f>
        <v>0</v>
      </c>
      <c r="O24" s="688">
        <f>+landbouw!N8</f>
        <v>0</v>
      </c>
      <c r="P24" s="688">
        <f>+landbouw!O8</f>
        <v>0</v>
      </c>
      <c r="Q24" s="689">
        <f>+landbouw!P8</f>
        <v>0</v>
      </c>
      <c r="R24" s="691">
        <f>SUM(C24:Q24)</f>
        <v>2678.6565045573789</v>
      </c>
      <c r="S24" s="68"/>
    </row>
    <row r="25" spans="1:19" s="457" customFormat="1" ht="15" thickBot="1">
      <c r="A25" s="825" t="s">
        <v>912</v>
      </c>
      <c r="B25" s="1001"/>
      <c r="C25" s="1002">
        <f>IF(Onbekend_ele_kWh="---",0,Onbekend_ele_kWh)/1000+IF(REST_rest_ele_kWh="---",0,REST_rest_ele_kWh)/1000</f>
        <v>4318.8720000000003</v>
      </c>
      <c r="D25" s="1002"/>
      <c r="E25" s="1002">
        <f>IF(onbekend_gas_kWh="---",0,onbekend_gas_kWh)/1000+IF(REST_rest_gas_kWh="---",0,REST_rest_gas_kWh)/1000</f>
        <v>10663.061</v>
      </c>
      <c r="F25" s="1002"/>
      <c r="G25" s="1002"/>
      <c r="H25" s="1002"/>
      <c r="I25" s="1002"/>
      <c r="J25" s="1002"/>
      <c r="K25" s="1002"/>
      <c r="L25" s="1002"/>
      <c r="M25" s="1002"/>
      <c r="N25" s="1002"/>
      <c r="O25" s="1002"/>
      <c r="P25" s="1002"/>
      <c r="Q25" s="1003"/>
      <c r="R25" s="691">
        <f>SUM(C25:Q25)</f>
        <v>14981.933000000001</v>
      </c>
      <c r="S25" s="68"/>
    </row>
    <row r="26" spans="1:19" s="457" customFormat="1" ht="15.75" thickBot="1">
      <c r="A26" s="694" t="s">
        <v>913</v>
      </c>
      <c r="B26" s="811"/>
      <c r="C26" s="806">
        <f>SUM(C24:C25)</f>
        <v>4726.2060000000001</v>
      </c>
      <c r="D26" s="806">
        <f t="shared" ref="D26:R26" si="2">SUM(D24:D25)</f>
        <v>7.5</v>
      </c>
      <c r="E26" s="806">
        <f t="shared" si="2"/>
        <v>11543.390923999999</v>
      </c>
      <c r="F26" s="806">
        <f t="shared" si="2"/>
        <v>3.8373592027327108</v>
      </c>
      <c r="G26" s="806">
        <f t="shared" si="2"/>
        <v>1329.2660242824509</v>
      </c>
      <c r="H26" s="806">
        <f t="shared" si="2"/>
        <v>0</v>
      </c>
      <c r="I26" s="806">
        <f t="shared" si="2"/>
        <v>0</v>
      </c>
      <c r="J26" s="806">
        <f t="shared" si="2"/>
        <v>0</v>
      </c>
      <c r="K26" s="806">
        <f t="shared" si="2"/>
        <v>50.389197072195408</v>
      </c>
      <c r="L26" s="806">
        <f t="shared" si="2"/>
        <v>0</v>
      </c>
      <c r="M26" s="806">
        <f t="shared" si="2"/>
        <v>0</v>
      </c>
      <c r="N26" s="806">
        <f t="shared" si="2"/>
        <v>0</v>
      </c>
      <c r="O26" s="806">
        <f t="shared" si="2"/>
        <v>0</v>
      </c>
      <c r="P26" s="806">
        <f t="shared" si="2"/>
        <v>0</v>
      </c>
      <c r="Q26" s="806">
        <f t="shared" si="2"/>
        <v>0</v>
      </c>
      <c r="R26" s="806">
        <f t="shared" si="2"/>
        <v>17660.589504557378</v>
      </c>
      <c r="S26" s="68"/>
    </row>
    <row r="27" spans="1:19" s="457" customFormat="1" ht="17.25" thickTop="1" thickBot="1">
      <c r="A27" s="695" t="s">
        <v>116</v>
      </c>
      <c r="B27" s="798"/>
      <c r="C27" s="696">
        <f ca="1">C22+C16+C26</f>
        <v>543803.76183066494</v>
      </c>
      <c r="D27" s="696">
        <f t="shared" ref="D27:R27" ca="1" si="3">D22+D16+D26</f>
        <v>124.82142857142858</v>
      </c>
      <c r="E27" s="696">
        <f t="shared" ca="1" si="3"/>
        <v>367444.81847508997</v>
      </c>
      <c r="F27" s="696">
        <f t="shared" si="3"/>
        <v>7792.3766346399898</v>
      </c>
      <c r="G27" s="696">
        <f t="shared" ca="1" si="3"/>
        <v>267087.20767814782</v>
      </c>
      <c r="H27" s="696">
        <f t="shared" si="3"/>
        <v>365912.08896753815</v>
      </c>
      <c r="I27" s="696">
        <f t="shared" si="3"/>
        <v>60060.436845693366</v>
      </c>
      <c r="J27" s="696">
        <f t="shared" si="3"/>
        <v>0</v>
      </c>
      <c r="K27" s="696">
        <f t="shared" si="3"/>
        <v>992.36509919299112</v>
      </c>
      <c r="L27" s="696">
        <f t="shared" si="3"/>
        <v>0</v>
      </c>
      <c r="M27" s="696">
        <f t="shared" ca="1" si="3"/>
        <v>0</v>
      </c>
      <c r="N27" s="696">
        <f t="shared" si="3"/>
        <v>19031.59105366268</v>
      </c>
      <c r="O27" s="696">
        <f t="shared" ca="1" si="3"/>
        <v>33856.140723648656</v>
      </c>
      <c r="P27" s="696">
        <f t="shared" si="3"/>
        <v>304.85000000000002</v>
      </c>
      <c r="Q27" s="696">
        <f t="shared" si="3"/>
        <v>1048.6666666666667</v>
      </c>
      <c r="R27" s="696">
        <f t="shared" ca="1" si="3"/>
        <v>1667459.1254035167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32254.941778041062</v>
      </c>
      <c r="D40" s="688">
        <f ca="1">tertiair!C20</f>
        <v>27.814214120497859</v>
      </c>
      <c r="E40" s="688">
        <f ca="1">tertiair!D20</f>
        <v>21913.244494549148</v>
      </c>
      <c r="F40" s="688">
        <f>tertiair!E20</f>
        <v>262.92261016324557</v>
      </c>
      <c r="G40" s="688">
        <f ca="1">tertiair!F20</f>
        <v>7701.4682558172162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62160.391352691164</v>
      </c>
    </row>
    <row r="41" spans="1:18">
      <c r="A41" s="816" t="s">
        <v>225</v>
      </c>
      <c r="B41" s="823"/>
      <c r="C41" s="688">
        <f ca="1">huishoudens!B12</f>
        <v>27365.090681045873</v>
      </c>
      <c r="D41" s="688">
        <f ca="1">huishoudens!C12</f>
        <v>0</v>
      </c>
      <c r="E41" s="688">
        <f>huishoudens!D12</f>
        <v>30019.353271116001</v>
      </c>
      <c r="F41" s="688">
        <f>huishoudens!E12</f>
        <v>613.15642704037771</v>
      </c>
      <c r="G41" s="688">
        <f>huishoudens!F12</f>
        <v>38503.469434100436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96501.069813302689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50825.066613360454</v>
      </c>
      <c r="D43" s="688">
        <f ca="1">industrie!C22</f>
        <v>0</v>
      </c>
      <c r="E43" s="688">
        <f>industrie!D22</f>
        <v>19954.128272056001</v>
      </c>
      <c r="F43" s="688">
        <f>industrie!E22</f>
        <v>515.70469530922276</v>
      </c>
      <c r="G43" s="688">
        <f>industrie!F22</f>
        <v>24752.432731664412</v>
      </c>
      <c r="H43" s="688">
        <f>industrie!G22</f>
        <v>0</v>
      </c>
      <c r="I43" s="688">
        <f>industrie!H22</f>
        <v>0</v>
      </c>
      <c r="J43" s="688">
        <f>industrie!I22</f>
        <v>0</v>
      </c>
      <c r="K43" s="688">
        <f>industrie!J22</f>
        <v>333.45946935076165</v>
      </c>
      <c r="L43" s="688">
        <f>industrie!K22</f>
        <v>0</v>
      </c>
      <c r="M43" s="688">
        <f>industrie!L22</f>
        <v>0</v>
      </c>
      <c r="N43" s="688">
        <f>industrie!M22</f>
        <v>0</v>
      </c>
      <c r="O43" s="688">
        <f>industrie!N22</f>
        <v>0</v>
      </c>
      <c r="P43" s="688">
        <f>industrie!O22</f>
        <v>0</v>
      </c>
      <c r="Q43" s="763">
        <f>industrie!P22</f>
        <v>0</v>
      </c>
      <c r="R43" s="843">
        <f t="shared" ca="1" si="4"/>
        <v>96380.79178174086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110445.0990724474</v>
      </c>
      <c r="D46" s="721">
        <f t="shared" ref="D46:Q46" ca="1" si="5">SUM(D39:D45)</f>
        <v>27.814214120497859</v>
      </c>
      <c r="E46" s="721">
        <f t="shared" ca="1" si="5"/>
        <v>71886.72603772115</v>
      </c>
      <c r="F46" s="721">
        <f t="shared" si="5"/>
        <v>1391.7837325128462</v>
      </c>
      <c r="G46" s="721">
        <f t="shared" ca="1" si="5"/>
        <v>70957.370421582062</v>
      </c>
      <c r="H46" s="721">
        <f t="shared" si="5"/>
        <v>0</v>
      </c>
      <c r="I46" s="721">
        <f t="shared" si="5"/>
        <v>0</v>
      </c>
      <c r="J46" s="721">
        <f t="shared" si="5"/>
        <v>0</v>
      </c>
      <c r="K46" s="721">
        <f t="shared" si="5"/>
        <v>333.45946935076165</v>
      </c>
      <c r="L46" s="721">
        <f t="shared" si="5"/>
        <v>0</v>
      </c>
      <c r="M46" s="721">
        <f t="shared" ca="1" si="5"/>
        <v>0</v>
      </c>
      <c r="N46" s="721">
        <f t="shared" si="5"/>
        <v>0</v>
      </c>
      <c r="O46" s="721">
        <f t="shared" ca="1" si="5"/>
        <v>0</v>
      </c>
      <c r="P46" s="721">
        <f t="shared" si="5"/>
        <v>0</v>
      </c>
      <c r="Q46" s="721">
        <f t="shared" si="5"/>
        <v>0</v>
      </c>
      <c r="R46" s="721">
        <f ca="1">SUM(R39:R45)</f>
        <v>255042.25294773473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4299.1640512689919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4299.1640512689919</v>
      </c>
    </row>
    <row r="50" spans="1:18">
      <c r="A50" s="819" t="s">
        <v>307</v>
      </c>
      <c r="B50" s="829"/>
      <c r="C50" s="1008">
        <f ca="1">transport!B18</f>
        <v>1.9864519081200291</v>
      </c>
      <c r="D50" s="1008">
        <f>transport!C18</f>
        <v>0</v>
      </c>
      <c r="E50" s="1008">
        <f>transport!D18</f>
        <v>5.3623275990219286</v>
      </c>
      <c r="F50" s="1008">
        <f>transport!E18</f>
        <v>376.21468301141147</v>
      </c>
      <c r="G50" s="1008">
        <f>transport!F18</f>
        <v>0</v>
      </c>
      <c r="H50" s="1008">
        <f>transport!G18</f>
        <v>93399.363703063704</v>
      </c>
      <c r="I50" s="1008">
        <f>transport!H18</f>
        <v>14955.048774577648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108737.9759401599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1.9864519081200291</v>
      </c>
      <c r="D52" s="721">
        <f t="shared" ref="D52:Q52" ca="1" si="6">SUM(D48:D51)</f>
        <v>0</v>
      </c>
      <c r="E52" s="721">
        <f t="shared" si="6"/>
        <v>5.3623275990219286</v>
      </c>
      <c r="F52" s="721">
        <f t="shared" si="6"/>
        <v>376.21468301141147</v>
      </c>
      <c r="G52" s="721">
        <f t="shared" si="6"/>
        <v>0</v>
      </c>
      <c r="H52" s="721">
        <f t="shared" si="6"/>
        <v>97698.527754332696</v>
      </c>
      <c r="I52" s="721">
        <f t="shared" si="6"/>
        <v>14955.048774577648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113037.13999142889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83.455251750658547</v>
      </c>
      <c r="D54" s="1008">
        <f ca="1">+landbouw!C12</f>
        <v>1.7780776150089954</v>
      </c>
      <c r="E54" s="1008">
        <f>+landbouw!D12</f>
        <v>177.82664464800001</v>
      </c>
      <c r="F54" s="1008">
        <f>+landbouw!E12</f>
        <v>0.87108053902032534</v>
      </c>
      <c r="G54" s="1008">
        <f>+landbouw!F12</f>
        <v>354.91402848341443</v>
      </c>
      <c r="H54" s="1008">
        <f>+landbouw!G12</f>
        <v>0</v>
      </c>
      <c r="I54" s="1008">
        <f>+landbouw!H12</f>
        <v>0</v>
      </c>
      <c r="J54" s="1008">
        <f>+landbouw!I12</f>
        <v>0</v>
      </c>
      <c r="K54" s="1008">
        <f>+landbouw!J12</f>
        <v>17.837775763557172</v>
      </c>
      <c r="L54" s="1008">
        <f>+landbouw!K12</f>
        <v>0</v>
      </c>
      <c r="M54" s="1008">
        <f>+landbouw!L12</f>
        <v>0</v>
      </c>
      <c r="N54" s="1008">
        <f>+landbouw!M12</f>
        <v>0</v>
      </c>
      <c r="O54" s="1008">
        <f>+landbouw!N12</f>
        <v>0</v>
      </c>
      <c r="P54" s="1008">
        <f>+landbouw!O12</f>
        <v>0</v>
      </c>
      <c r="Q54" s="1009">
        <f>+landbouw!P12</f>
        <v>0</v>
      </c>
      <c r="R54" s="720">
        <f ca="1">SUM(C54:Q54)</f>
        <v>636.68285879965947</v>
      </c>
    </row>
    <row r="55" spans="1:18" ht="15" thickBot="1">
      <c r="A55" s="819" t="s">
        <v>912</v>
      </c>
      <c r="B55" s="829"/>
      <c r="C55" s="1008">
        <f ca="1">C25*'EF ele_warmte'!B12</f>
        <v>884.8575126035887</v>
      </c>
      <c r="D55" s="1008"/>
      <c r="E55" s="1008">
        <f>E25*EF_CO2_aardgas</f>
        <v>2153.938322</v>
      </c>
      <c r="F55" s="1008"/>
      <c r="G55" s="1008"/>
      <c r="H55" s="1008"/>
      <c r="I55" s="1008"/>
      <c r="J55" s="1008"/>
      <c r="K55" s="1008"/>
      <c r="L55" s="1008"/>
      <c r="M55" s="1008"/>
      <c r="N55" s="1008"/>
      <c r="O55" s="1008"/>
      <c r="P55" s="1008"/>
      <c r="Q55" s="1009"/>
      <c r="R55" s="720">
        <f ca="1">SUM(C55:Q55)</f>
        <v>3038.7958346035884</v>
      </c>
    </row>
    <row r="56" spans="1:18" ht="15.75" thickBot="1">
      <c r="A56" s="817" t="s">
        <v>913</v>
      </c>
      <c r="B56" s="830"/>
      <c r="C56" s="721">
        <f ca="1">SUM(C54:C55)</f>
        <v>968.31276435424729</v>
      </c>
      <c r="D56" s="721">
        <f t="shared" ref="D56:Q56" ca="1" si="7">SUM(D54:D55)</f>
        <v>1.7780776150089954</v>
      </c>
      <c r="E56" s="721">
        <f t="shared" si="7"/>
        <v>2331.7649666480002</v>
      </c>
      <c r="F56" s="721">
        <f t="shared" si="7"/>
        <v>0.87108053902032534</v>
      </c>
      <c r="G56" s="721">
        <f t="shared" si="7"/>
        <v>354.91402848341443</v>
      </c>
      <c r="H56" s="721">
        <f t="shared" si="7"/>
        <v>0</v>
      </c>
      <c r="I56" s="721">
        <f t="shared" si="7"/>
        <v>0</v>
      </c>
      <c r="J56" s="721">
        <f t="shared" si="7"/>
        <v>0</v>
      </c>
      <c r="K56" s="721">
        <f t="shared" si="7"/>
        <v>17.837775763557172</v>
      </c>
      <c r="L56" s="721">
        <f t="shared" si="7"/>
        <v>0</v>
      </c>
      <c r="M56" s="721">
        <f t="shared" si="7"/>
        <v>0</v>
      </c>
      <c r="N56" s="721">
        <f t="shared" si="7"/>
        <v>0</v>
      </c>
      <c r="O56" s="721">
        <f t="shared" si="7"/>
        <v>0</v>
      </c>
      <c r="P56" s="721">
        <f t="shared" si="7"/>
        <v>0</v>
      </c>
      <c r="Q56" s="722">
        <f t="shared" si="7"/>
        <v>0</v>
      </c>
      <c r="R56" s="723">
        <f ca="1">SUM(R54:R55)</f>
        <v>3675.4786934032481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111415.39828870977</v>
      </c>
      <c r="D61" s="729">
        <f t="shared" ref="D61:Q61" ca="1" si="8">D46+D52+D56</f>
        <v>29.592291735506855</v>
      </c>
      <c r="E61" s="729">
        <f t="shared" ca="1" si="8"/>
        <v>74223.853331968174</v>
      </c>
      <c r="F61" s="729">
        <f t="shared" si="8"/>
        <v>1768.8694960632781</v>
      </c>
      <c r="G61" s="729">
        <f t="shared" ca="1" si="8"/>
        <v>71312.284450065476</v>
      </c>
      <c r="H61" s="729">
        <f t="shared" si="8"/>
        <v>97698.527754332696</v>
      </c>
      <c r="I61" s="729">
        <f t="shared" si="8"/>
        <v>14955.048774577648</v>
      </c>
      <c r="J61" s="729">
        <f t="shared" si="8"/>
        <v>0</v>
      </c>
      <c r="K61" s="729">
        <f t="shared" si="8"/>
        <v>351.2972451143188</v>
      </c>
      <c r="L61" s="729">
        <f t="shared" si="8"/>
        <v>0</v>
      </c>
      <c r="M61" s="729">
        <f t="shared" ca="1" si="8"/>
        <v>0</v>
      </c>
      <c r="N61" s="729">
        <f t="shared" si="8"/>
        <v>0</v>
      </c>
      <c r="O61" s="729">
        <f t="shared" ca="1" si="8"/>
        <v>0</v>
      </c>
      <c r="P61" s="729">
        <f t="shared" si="8"/>
        <v>0</v>
      </c>
      <c r="Q61" s="729">
        <f t="shared" si="8"/>
        <v>0</v>
      </c>
      <c r="R61" s="729">
        <f ca="1">R46+R52+R56</f>
        <v>371754.87163256685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0.20488162478619154</v>
      </c>
      <c r="D63" s="773">
        <f t="shared" ca="1" si="9"/>
        <v>0.23707701533453271</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10429.445914654314</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28360.825652198779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83.625</v>
      </c>
      <c r="D76" s="1020">
        <f>'lokale energieproductie'!C8</f>
        <v>98.146363402724248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19.8255654073503</v>
      </c>
      <c r="R76" s="846">
        <v>0</v>
      </c>
    </row>
    <row r="77" spans="1:18" ht="30.75" thickBot="1">
      <c r="A77" s="742" t="s">
        <v>353</v>
      </c>
      <c r="B77" s="739">
        <f>'lokale energieproductie'!B9*IFERROR(SUM(I77:O77)/SUM(D77:O77),0)</f>
        <v>877.5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2507.1428571428573</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39667.771566853095</v>
      </c>
      <c r="C78" s="744">
        <f>SUM(C72:C77)</f>
        <v>83.625</v>
      </c>
      <c r="D78" s="745">
        <f t="shared" ref="D78:H78" si="10">SUM(D76:D77)</f>
        <v>98.146363402724248</v>
      </c>
      <c r="E78" s="745">
        <f t="shared" si="10"/>
        <v>0</v>
      </c>
      <c r="F78" s="745">
        <f t="shared" si="10"/>
        <v>0</v>
      </c>
      <c r="G78" s="745">
        <f t="shared" si="10"/>
        <v>0</v>
      </c>
      <c r="H78" s="745">
        <f t="shared" si="10"/>
        <v>0</v>
      </c>
      <c r="I78" s="745">
        <f>SUM(I76:I77)</f>
        <v>0</v>
      </c>
      <c r="J78" s="745">
        <f>SUM(J76:J77)</f>
        <v>2507.1428571428573</v>
      </c>
      <c r="K78" s="745">
        <f t="shared" ref="K78:L78" si="11">SUM(K76:K77)</f>
        <v>0</v>
      </c>
      <c r="L78" s="745">
        <f t="shared" si="11"/>
        <v>0</v>
      </c>
      <c r="M78" s="745">
        <f>SUM(M76:M77)</f>
        <v>0</v>
      </c>
      <c r="N78" s="745">
        <f>SUM(N76:N77)</f>
        <v>0</v>
      </c>
      <c r="O78" s="854">
        <f>SUM(O76:O77)</f>
        <v>0</v>
      </c>
      <c r="P78" s="746">
        <v>0</v>
      </c>
      <c r="Q78" s="746">
        <f>SUM(Q76:Q77)</f>
        <v>19.8255654073503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124.82142857142858</v>
      </c>
      <c r="D87" s="766">
        <f>'lokale energieproductie'!C17</f>
        <v>146.49649374013293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29.592291735506855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124.82142857142858</v>
      </c>
      <c r="D90" s="744">
        <f t="shared" ref="D90:H90" si="12">SUM(D87:D89)</f>
        <v>146.49649374013293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29.592291735506855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10429.445914654314</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28360.825652198779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83.625</v>
      </c>
      <c r="C8" s="558">
        <f>B101</f>
        <v>98.146363402724248</v>
      </c>
      <c r="D8" s="991"/>
      <c r="E8" s="991">
        <f>E101</f>
        <v>0</v>
      </c>
      <c r="F8" s="992"/>
      <c r="G8" s="559"/>
      <c r="H8" s="991">
        <f>I101</f>
        <v>0</v>
      </c>
      <c r="I8" s="991">
        <f>G101+F101</f>
        <v>0</v>
      </c>
      <c r="J8" s="991">
        <f>H101+D101+C101</f>
        <v>0</v>
      </c>
      <c r="K8" s="991"/>
      <c r="L8" s="991"/>
      <c r="M8" s="991"/>
      <c r="N8" s="560"/>
      <c r="O8" s="561">
        <f>C8*$C$12+D8*$D$12+E8*$E$12+F8*$F$12+G8*$G$12+H8*$H$12+I8*$I$12+J8*$J$12</f>
        <v>19.8255654073503</v>
      </c>
      <c r="P8" s="1245"/>
      <c r="Q8" s="1246"/>
      <c r="S8" s="1028"/>
      <c r="T8" s="1220"/>
      <c r="U8" s="1220"/>
    </row>
    <row r="9" spans="1:21" s="546" customFormat="1" ht="17.45" customHeight="1" thickBot="1">
      <c r="A9" s="562" t="s">
        <v>248</v>
      </c>
      <c r="B9" s="993">
        <f>N89+'Eigen informatie GS &amp; warmtenet'!B12</f>
        <v>877.5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39751.396566853095</v>
      </c>
      <c r="C10" s="570">
        <f t="shared" ref="C10:L10" si="0">SUM(C8:C9)</f>
        <v>98.146363402724248</v>
      </c>
      <c r="D10" s="570">
        <f t="shared" si="0"/>
        <v>0</v>
      </c>
      <c r="E10" s="570">
        <f t="shared" si="0"/>
        <v>0</v>
      </c>
      <c r="F10" s="570">
        <f t="shared" si="0"/>
        <v>0</v>
      </c>
      <c r="G10" s="570">
        <f t="shared" si="0"/>
        <v>0</v>
      </c>
      <c r="H10" s="570">
        <f t="shared" si="0"/>
        <v>0</v>
      </c>
      <c r="I10" s="570">
        <f t="shared" si="0"/>
        <v>0</v>
      </c>
      <c r="J10" s="570">
        <f t="shared" si="0"/>
        <v>2507.1428571428573</v>
      </c>
      <c r="K10" s="570">
        <f t="shared" si="0"/>
        <v>0</v>
      </c>
      <c r="L10" s="570">
        <f t="shared" si="0"/>
        <v>0</v>
      </c>
      <c r="M10" s="995"/>
      <c r="N10" s="995"/>
      <c r="O10" s="571">
        <f>SUM(O4:O9)</f>
        <v>19.8255654073503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124.82142857142858</v>
      </c>
      <c r="C17" s="582">
        <f>B102</f>
        <v>146.49649374013293</v>
      </c>
      <c r="D17" s="583"/>
      <c r="E17" s="583">
        <f>E102</f>
        <v>0</v>
      </c>
      <c r="F17" s="584"/>
      <c r="G17" s="585"/>
      <c r="H17" s="582">
        <f>I102</f>
        <v>0</v>
      </c>
      <c r="I17" s="583">
        <f>G102+F102</f>
        <v>0</v>
      </c>
      <c r="J17" s="583">
        <f>H102+D102+C102</f>
        <v>0</v>
      </c>
      <c r="K17" s="583"/>
      <c r="L17" s="583"/>
      <c r="M17" s="583"/>
      <c r="N17" s="998"/>
      <c r="O17" s="586">
        <f>C17*$C$22+E17*$E$22+H17*$H$22+I17*$I$22+J17*$J$22+D17*$D$22+F17*$F$22+G17*$G$22+K17*$K$22+L17*$L$22</f>
        <v>29.592291735506855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124.82142857142858</v>
      </c>
      <c r="C20" s="569">
        <f>SUM(C17:C19)</f>
        <v>146.49649374013293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29.592291735506855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71016</v>
      </c>
      <c r="C28" s="789">
        <v>3600</v>
      </c>
      <c r="D28" s="642" t="s">
        <v>948</v>
      </c>
      <c r="E28" s="641" t="s">
        <v>949</v>
      </c>
      <c r="F28" s="641" t="s">
        <v>950</v>
      </c>
      <c r="G28" s="641" t="s">
        <v>951</v>
      </c>
      <c r="H28" s="641" t="s">
        <v>952</v>
      </c>
      <c r="I28" s="641" t="s">
        <v>949</v>
      </c>
      <c r="J28" s="788">
        <v>39239</v>
      </c>
      <c r="K28" s="788">
        <v>39356</v>
      </c>
      <c r="L28" s="641" t="s">
        <v>953</v>
      </c>
      <c r="M28" s="641">
        <v>17</v>
      </c>
      <c r="N28" s="641">
        <v>76.5</v>
      </c>
      <c r="O28" s="641">
        <v>109.28571428571429</v>
      </c>
      <c r="P28" s="641">
        <v>218.57142857142858</v>
      </c>
      <c r="Q28" s="641">
        <v>0</v>
      </c>
      <c r="R28" s="641">
        <v>0</v>
      </c>
      <c r="S28" s="641">
        <v>0</v>
      </c>
      <c r="T28" s="641">
        <v>0</v>
      </c>
      <c r="U28" s="641">
        <v>0</v>
      </c>
      <c r="V28" s="641">
        <v>0</v>
      </c>
      <c r="W28" s="641"/>
      <c r="X28" s="641">
        <v>1600</v>
      </c>
      <c r="Y28" s="641" t="s">
        <v>50</v>
      </c>
      <c r="Z28" s="643" t="s">
        <v>156</v>
      </c>
    </row>
    <row r="29" spans="1:26" s="595" customFormat="1" ht="25.5">
      <c r="A29" s="594"/>
      <c r="B29" s="789">
        <v>71016</v>
      </c>
      <c r="C29" s="789">
        <v>3600</v>
      </c>
      <c r="D29" s="642" t="s">
        <v>954</v>
      </c>
      <c r="E29" s="641" t="s">
        <v>955</v>
      </c>
      <c r="F29" s="641" t="s">
        <v>956</v>
      </c>
      <c r="G29" s="641" t="s">
        <v>957</v>
      </c>
      <c r="H29" s="641" t="s">
        <v>957</v>
      </c>
      <c r="I29" s="641" t="s">
        <v>955</v>
      </c>
      <c r="J29" s="788">
        <v>40817</v>
      </c>
      <c r="K29" s="788">
        <v>40969</v>
      </c>
      <c r="L29" s="641" t="s">
        <v>953</v>
      </c>
      <c r="M29" s="641">
        <v>1</v>
      </c>
      <c r="N29" s="641">
        <v>1.5</v>
      </c>
      <c r="O29" s="641">
        <v>7.5</v>
      </c>
      <c r="P29" s="641">
        <v>10</v>
      </c>
      <c r="Q29" s="641">
        <v>0</v>
      </c>
      <c r="R29" s="641">
        <v>0</v>
      </c>
      <c r="S29" s="641">
        <v>0</v>
      </c>
      <c r="T29" s="641">
        <v>0</v>
      </c>
      <c r="U29" s="641">
        <v>0</v>
      </c>
      <c r="V29" s="641">
        <v>0</v>
      </c>
      <c r="W29" s="641"/>
      <c r="X29" s="641">
        <v>10</v>
      </c>
      <c r="Y29" s="641" t="s">
        <v>112</v>
      </c>
      <c r="Z29" s="643" t="s">
        <v>112</v>
      </c>
    </row>
    <row r="30" spans="1:26" s="595" customFormat="1" ht="25.5">
      <c r="A30" s="594"/>
      <c r="B30" s="789">
        <v>71016</v>
      </c>
      <c r="C30" s="789">
        <v>3600</v>
      </c>
      <c r="D30" s="642" t="s">
        <v>958</v>
      </c>
      <c r="E30" s="641" t="s">
        <v>959</v>
      </c>
      <c r="F30" s="641" t="s">
        <v>960</v>
      </c>
      <c r="G30" s="641" t="s">
        <v>951</v>
      </c>
      <c r="H30" s="641" t="s">
        <v>952</v>
      </c>
      <c r="I30" s="641" t="s">
        <v>961</v>
      </c>
      <c r="J30" s="788">
        <v>41099</v>
      </c>
      <c r="K30" s="788">
        <v>41244</v>
      </c>
      <c r="L30" s="641" t="s">
        <v>953</v>
      </c>
      <c r="M30" s="641">
        <v>15</v>
      </c>
      <c r="N30" s="641">
        <v>5.625</v>
      </c>
      <c r="O30" s="641">
        <v>8.0357142857142865</v>
      </c>
      <c r="P30" s="641">
        <v>16.071428571428573</v>
      </c>
      <c r="Q30" s="641">
        <v>0</v>
      </c>
      <c r="R30" s="641">
        <v>0</v>
      </c>
      <c r="S30" s="641">
        <v>0</v>
      </c>
      <c r="T30" s="641">
        <v>0</v>
      </c>
      <c r="U30" s="641">
        <v>0</v>
      </c>
      <c r="V30" s="641">
        <v>0</v>
      </c>
      <c r="W30" s="641"/>
      <c r="X30" s="641">
        <v>1300</v>
      </c>
      <c r="Y30" s="641" t="s">
        <v>54</v>
      </c>
      <c r="Z30" s="643" t="s">
        <v>156</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33</v>
      </c>
      <c r="N58" s="599">
        <f>SUM(N28:N57)</f>
        <v>83.625</v>
      </c>
      <c r="O58" s="599">
        <f t="shared" ref="O58:W58" si="2">SUM(O28:O57)</f>
        <v>124.82142857142858</v>
      </c>
      <c r="P58" s="599">
        <f t="shared" si="2"/>
        <v>244.64285714285717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32</v>
      </c>
      <c r="N60" s="599">
        <f ca="1">SUMIF($Z$28:AD57,"tertiair",N28:N57)</f>
        <v>82.125</v>
      </c>
      <c r="O60" s="599">
        <f ca="1">SUMIF($Z$28:AE57,"tertiair",O28:O57)</f>
        <v>117.32142857142858</v>
      </c>
      <c r="P60" s="599">
        <f ca="1">SUMIF($Z$28:AF57,"tertiair",P28:P57)</f>
        <v>234.64285714285717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71016</v>
      </c>
      <c r="C64" s="789">
        <v>3600</v>
      </c>
      <c r="D64" s="644" t="s">
        <v>962</v>
      </c>
      <c r="E64" s="644" t="s">
        <v>963</v>
      </c>
      <c r="F64" s="644" t="s">
        <v>964</v>
      </c>
      <c r="G64" s="644" t="s">
        <v>965</v>
      </c>
      <c r="H64" s="644" t="s">
        <v>966</v>
      </c>
      <c r="I64" s="644" t="s">
        <v>967</v>
      </c>
      <c r="J64" s="788">
        <v>33970</v>
      </c>
      <c r="K64" s="788">
        <v>37316</v>
      </c>
      <c r="L64" s="644" t="s">
        <v>953</v>
      </c>
      <c r="M64" s="644">
        <v>195</v>
      </c>
      <c r="N64" s="644">
        <v>877.5</v>
      </c>
      <c r="O64" s="644">
        <v>0</v>
      </c>
      <c r="P64" s="644">
        <v>0</v>
      </c>
      <c r="Q64" s="644">
        <v>2507.1428571428573</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195</v>
      </c>
      <c r="N89" s="599">
        <f t="shared" ref="N89:W89" si="5">SUM(N64:N88)</f>
        <v>877.5</v>
      </c>
      <c r="O89" s="599">
        <f t="shared" si="5"/>
        <v>0</v>
      </c>
      <c r="P89" s="599">
        <f t="shared" si="5"/>
        <v>0</v>
      </c>
      <c r="Q89" s="599">
        <f t="shared" si="5"/>
        <v>2507.1428571428573</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195</v>
      </c>
      <c r="N91" s="599">
        <f t="shared" si="7"/>
        <v>877.5</v>
      </c>
      <c r="O91" s="599">
        <f t="shared" si="7"/>
        <v>0</v>
      </c>
      <c r="P91" s="599">
        <f t="shared" si="7"/>
        <v>0</v>
      </c>
      <c r="Q91" s="599">
        <f t="shared" si="7"/>
        <v>2507.1428571428573</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0.59881778463120028</v>
      </c>
      <c r="C98" s="624">
        <f>IF(ISERROR(N58/(O58+N58)),0,N58/(N58+O58))</f>
        <v>0.40118221536879978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98.146363402724248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146.49649374013293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133565.37322272448</v>
      </c>
      <c r="C4" s="461">
        <f>huishoudens!C8</f>
        <v>0</v>
      </c>
      <c r="D4" s="461">
        <f>huishoudens!D8</f>
        <v>148610.65975799999</v>
      </c>
      <c r="E4" s="461">
        <f>huishoudens!E8</f>
        <v>2701.1296345391088</v>
      </c>
      <c r="F4" s="461">
        <f>huishoudens!F8</f>
        <v>144207.75068951474</v>
      </c>
      <c r="G4" s="461">
        <f>huishoudens!G8</f>
        <v>0</v>
      </c>
      <c r="H4" s="461">
        <f>huishoudens!H8</f>
        <v>0</v>
      </c>
      <c r="I4" s="461">
        <f>huishoudens!I8</f>
        <v>0</v>
      </c>
      <c r="J4" s="461">
        <f>huishoudens!J8</f>
        <v>0</v>
      </c>
      <c r="K4" s="461">
        <f>huishoudens!K8</f>
        <v>0</v>
      </c>
      <c r="L4" s="461">
        <f>huishoudens!L8</f>
        <v>0</v>
      </c>
      <c r="M4" s="461">
        <f>huishoudens!M8</f>
        <v>0</v>
      </c>
      <c r="N4" s="461">
        <f>huishoudens!N8</f>
        <v>10935.000175948138</v>
      </c>
      <c r="O4" s="461">
        <f>huishoudens!O8</f>
        <v>304.85000000000002</v>
      </c>
      <c r="P4" s="462">
        <f>huishoudens!P8</f>
        <v>1048.6666666666667</v>
      </c>
      <c r="Q4" s="463">
        <f>SUM(B4:P4)</f>
        <v>441373.43014739314</v>
      </c>
    </row>
    <row r="5" spans="1:17">
      <c r="A5" s="460" t="s">
        <v>156</v>
      </c>
      <c r="B5" s="461">
        <f ca="1">tertiair!B16</f>
        <v>153605.929</v>
      </c>
      <c r="C5" s="461">
        <f ca="1">tertiair!C16</f>
        <v>117.32142857142858</v>
      </c>
      <c r="D5" s="461">
        <f ca="1">tertiair!D16</f>
        <v>108481.40838885716</v>
      </c>
      <c r="E5" s="461">
        <f>tertiair!E16</f>
        <v>1158.2493839790554</v>
      </c>
      <c r="F5" s="461">
        <f ca="1">tertiair!F16</f>
        <v>28844.45039631916</v>
      </c>
      <c r="G5" s="461">
        <f>tertiair!G16</f>
        <v>0</v>
      </c>
      <c r="H5" s="461">
        <f>tertiair!H16</f>
        <v>0</v>
      </c>
      <c r="I5" s="461">
        <f>tertiair!I16</f>
        <v>0</v>
      </c>
      <c r="J5" s="461">
        <f>tertiair!J16</f>
        <v>0</v>
      </c>
      <c r="K5" s="461">
        <f>tertiair!K16</f>
        <v>0</v>
      </c>
      <c r="L5" s="461">
        <f ca="1">tertiair!L16</f>
        <v>0</v>
      </c>
      <c r="M5" s="461">
        <f>tertiair!M16</f>
        <v>0</v>
      </c>
      <c r="N5" s="461">
        <f ca="1">tertiair!N16</f>
        <v>8469.2267596773054</v>
      </c>
      <c r="O5" s="461">
        <f>tertiair!O16</f>
        <v>0</v>
      </c>
      <c r="P5" s="462">
        <f>tertiair!P16</f>
        <v>0</v>
      </c>
      <c r="Q5" s="460">
        <f t="shared" ref="Q5:Q14" ca="1" si="0">SUM(B5:P5)</f>
        <v>300676.58535740408</v>
      </c>
    </row>
    <row r="6" spans="1:17">
      <c r="A6" s="460" t="s">
        <v>194</v>
      </c>
      <c r="B6" s="461">
        <f>'openbare verlichting'!B8</f>
        <v>3826.1579999999999</v>
      </c>
      <c r="C6" s="461"/>
      <c r="D6" s="461"/>
      <c r="E6" s="461"/>
      <c r="F6" s="461"/>
      <c r="G6" s="461"/>
      <c r="H6" s="461"/>
      <c r="I6" s="461"/>
      <c r="J6" s="461"/>
      <c r="K6" s="461"/>
      <c r="L6" s="461"/>
      <c r="M6" s="461"/>
      <c r="N6" s="461"/>
      <c r="O6" s="461"/>
      <c r="P6" s="462"/>
      <c r="Q6" s="460">
        <f t="shared" si="0"/>
        <v>3826.1579999999999</v>
      </c>
    </row>
    <row r="7" spans="1:17">
      <c r="A7" s="460" t="s">
        <v>112</v>
      </c>
      <c r="B7" s="461">
        <f>landbouw!B8</f>
        <v>407.334</v>
      </c>
      <c r="C7" s="461">
        <f>landbouw!C8</f>
        <v>7.5</v>
      </c>
      <c r="D7" s="461">
        <f>landbouw!D8</f>
        <v>880.32992400000001</v>
      </c>
      <c r="E7" s="461">
        <f>landbouw!E8</f>
        <v>3.8373592027327108</v>
      </c>
      <c r="F7" s="461">
        <f>landbouw!F8</f>
        <v>1329.2660242824509</v>
      </c>
      <c r="G7" s="461">
        <f>landbouw!G8</f>
        <v>0</v>
      </c>
      <c r="H7" s="461">
        <f>landbouw!H8</f>
        <v>0</v>
      </c>
      <c r="I7" s="461">
        <f>landbouw!I8</f>
        <v>0</v>
      </c>
      <c r="J7" s="461">
        <f>landbouw!J8</f>
        <v>50.389197072195408</v>
      </c>
      <c r="K7" s="461">
        <f>landbouw!K8</f>
        <v>0</v>
      </c>
      <c r="L7" s="461">
        <f>landbouw!L8</f>
        <v>0</v>
      </c>
      <c r="M7" s="461">
        <f>landbouw!M8</f>
        <v>0</v>
      </c>
      <c r="N7" s="461">
        <f>landbouw!N8</f>
        <v>0</v>
      </c>
      <c r="O7" s="461">
        <f>landbouw!O8</f>
        <v>0</v>
      </c>
      <c r="P7" s="462">
        <f>landbouw!P8</f>
        <v>0</v>
      </c>
      <c r="Q7" s="460">
        <f t="shared" si="0"/>
        <v>2678.6565045573789</v>
      </c>
    </row>
    <row r="8" spans="1:17">
      <c r="A8" s="460" t="s">
        <v>685</v>
      </c>
      <c r="B8" s="461">
        <f>industrie!B18</f>
        <v>248070.40000000002</v>
      </c>
      <c r="C8" s="461">
        <f>industrie!C18</f>
        <v>0</v>
      </c>
      <c r="D8" s="461">
        <f>industrie!D18</f>
        <v>98782.813227999999</v>
      </c>
      <c r="E8" s="461">
        <f>industrie!E18</f>
        <v>2271.8268515824789</v>
      </c>
      <c r="F8" s="461">
        <f>industrie!F18</f>
        <v>92705.740568031499</v>
      </c>
      <c r="G8" s="461">
        <f>industrie!G18</f>
        <v>0</v>
      </c>
      <c r="H8" s="461">
        <f>industrie!H18</f>
        <v>0</v>
      </c>
      <c r="I8" s="461">
        <f>industrie!I18</f>
        <v>0</v>
      </c>
      <c r="J8" s="461">
        <f>industrie!J18</f>
        <v>941.97590212079569</v>
      </c>
      <c r="K8" s="461">
        <f>industrie!K18</f>
        <v>0</v>
      </c>
      <c r="L8" s="461">
        <f>industrie!L18</f>
        <v>0</v>
      </c>
      <c r="M8" s="461">
        <f>industrie!M18</f>
        <v>0</v>
      </c>
      <c r="N8" s="461">
        <f>industrie!N18</f>
        <v>14451.913788023208</v>
      </c>
      <c r="O8" s="461">
        <f>industrie!O18</f>
        <v>0</v>
      </c>
      <c r="P8" s="462">
        <f>industrie!P18</f>
        <v>0</v>
      </c>
      <c r="Q8" s="460">
        <f t="shared" si="0"/>
        <v>457224.67033775809</v>
      </c>
    </row>
    <row r="9" spans="1:17" s="466" customFormat="1">
      <c r="A9" s="464" t="s">
        <v>579</v>
      </c>
      <c r="B9" s="465">
        <f>transport!B14</f>
        <v>9.6956079404047681</v>
      </c>
      <c r="C9" s="465">
        <f>transport!C14</f>
        <v>0</v>
      </c>
      <c r="D9" s="465">
        <f>transport!D14</f>
        <v>26.546176232781825</v>
      </c>
      <c r="E9" s="465">
        <f>transport!E14</f>
        <v>1657.3334053366143</v>
      </c>
      <c r="F9" s="465">
        <f>transport!F14</f>
        <v>0</v>
      </c>
      <c r="G9" s="465">
        <f>transport!G14</f>
        <v>349810.35094780411</v>
      </c>
      <c r="H9" s="465">
        <f>transport!H14</f>
        <v>60060.436845693366</v>
      </c>
      <c r="I9" s="465">
        <f>transport!I14</f>
        <v>0</v>
      </c>
      <c r="J9" s="465">
        <f>transport!J14</f>
        <v>0</v>
      </c>
      <c r="K9" s="465">
        <f>transport!K14</f>
        <v>0</v>
      </c>
      <c r="L9" s="465">
        <f>transport!L14</f>
        <v>0</v>
      </c>
      <c r="M9" s="465">
        <f>transport!M14</f>
        <v>18324.537175737845</v>
      </c>
      <c r="N9" s="465">
        <f>transport!N14</f>
        <v>0</v>
      </c>
      <c r="O9" s="465">
        <f>transport!O14</f>
        <v>0</v>
      </c>
      <c r="P9" s="465">
        <f>transport!P14</f>
        <v>0</v>
      </c>
      <c r="Q9" s="464">
        <f>SUM(B9:P9)</f>
        <v>429888.90015874512</v>
      </c>
    </row>
    <row r="10" spans="1:17">
      <c r="A10" s="460" t="s">
        <v>569</v>
      </c>
      <c r="B10" s="461">
        <f>transport!B54</f>
        <v>0</v>
      </c>
      <c r="C10" s="461">
        <f>transport!C54</f>
        <v>0</v>
      </c>
      <c r="D10" s="461">
        <f>transport!D54</f>
        <v>0</v>
      </c>
      <c r="E10" s="461">
        <f>transport!E54</f>
        <v>0</v>
      </c>
      <c r="F10" s="461">
        <f>transport!F54</f>
        <v>0</v>
      </c>
      <c r="G10" s="461">
        <f>transport!G54</f>
        <v>16101.738019734052</v>
      </c>
      <c r="H10" s="461">
        <f>transport!H54</f>
        <v>0</v>
      </c>
      <c r="I10" s="461">
        <f>transport!I54</f>
        <v>0</v>
      </c>
      <c r="J10" s="461">
        <f>transport!J54</f>
        <v>0</v>
      </c>
      <c r="K10" s="461">
        <f>transport!K54</f>
        <v>0</v>
      </c>
      <c r="L10" s="461">
        <f>transport!L54</f>
        <v>0</v>
      </c>
      <c r="M10" s="461">
        <f>transport!M54</f>
        <v>707.05387792483532</v>
      </c>
      <c r="N10" s="461">
        <f>transport!N54</f>
        <v>0</v>
      </c>
      <c r="O10" s="461">
        <f>transport!O54</f>
        <v>0</v>
      </c>
      <c r="P10" s="462">
        <f>transport!P54</f>
        <v>0</v>
      </c>
      <c r="Q10" s="460">
        <f t="shared" si="0"/>
        <v>16808.791897658888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4318.8720000000003</v>
      </c>
      <c r="C14" s="468"/>
      <c r="D14" s="468">
        <f>'SEAP template'!E25</f>
        <v>10663.061</v>
      </c>
      <c r="E14" s="468"/>
      <c r="F14" s="468"/>
      <c r="G14" s="468"/>
      <c r="H14" s="468"/>
      <c r="I14" s="468"/>
      <c r="J14" s="468"/>
      <c r="K14" s="468"/>
      <c r="L14" s="468"/>
      <c r="M14" s="468"/>
      <c r="N14" s="468"/>
      <c r="O14" s="468"/>
      <c r="P14" s="469"/>
      <c r="Q14" s="460">
        <f t="shared" si="0"/>
        <v>14981.933000000001</v>
      </c>
    </row>
    <row r="15" spans="1:17" s="473" customFormat="1">
      <c r="A15" s="470" t="s">
        <v>573</v>
      </c>
      <c r="B15" s="471">
        <f ca="1">SUM(B4:B14)</f>
        <v>543803.76183066494</v>
      </c>
      <c r="C15" s="471">
        <f t="shared" ref="C15:Q15" ca="1" si="1">SUM(C4:C14)</f>
        <v>124.82142857142858</v>
      </c>
      <c r="D15" s="471">
        <f t="shared" ca="1" si="1"/>
        <v>367444.81847508991</v>
      </c>
      <c r="E15" s="471">
        <f t="shared" si="1"/>
        <v>7792.3766346399898</v>
      </c>
      <c r="F15" s="471">
        <f t="shared" ca="1" si="1"/>
        <v>267087.20767814782</v>
      </c>
      <c r="G15" s="471">
        <f t="shared" si="1"/>
        <v>365912.08896753815</v>
      </c>
      <c r="H15" s="471">
        <f t="shared" si="1"/>
        <v>60060.436845693366</v>
      </c>
      <c r="I15" s="471">
        <f t="shared" si="1"/>
        <v>0</v>
      </c>
      <c r="J15" s="471">
        <f t="shared" si="1"/>
        <v>992.36509919299112</v>
      </c>
      <c r="K15" s="471">
        <f t="shared" si="1"/>
        <v>0</v>
      </c>
      <c r="L15" s="471">
        <f t="shared" ca="1" si="1"/>
        <v>0</v>
      </c>
      <c r="M15" s="471">
        <f t="shared" si="1"/>
        <v>19031.59105366268</v>
      </c>
      <c r="N15" s="471">
        <f t="shared" ca="1" si="1"/>
        <v>33856.140723648656</v>
      </c>
      <c r="O15" s="471">
        <f t="shared" si="1"/>
        <v>304.85000000000002</v>
      </c>
      <c r="P15" s="471">
        <f t="shared" si="1"/>
        <v>1048.6666666666667</v>
      </c>
      <c r="Q15" s="471">
        <f t="shared" ca="1" si="1"/>
        <v>1667459.1254035169</v>
      </c>
    </row>
    <row r="17" spans="1:17">
      <c r="A17" s="474" t="s">
        <v>574</v>
      </c>
      <c r="B17" s="778">
        <f ca="1">huishoudens!B10</f>
        <v>0.20488162478619154</v>
      </c>
      <c r="C17" s="778">
        <f ca="1">huishoudens!C10</f>
        <v>0.23707701533453271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27365.090681045873</v>
      </c>
      <c r="C22" s="461">
        <f t="shared" ref="C22:C32" ca="1" si="3">C4*$C$17</f>
        <v>0</v>
      </c>
      <c r="D22" s="461">
        <f t="shared" ref="D22:D32" si="4">D4*$D$17</f>
        <v>30019.353271116001</v>
      </c>
      <c r="E22" s="461">
        <f t="shared" ref="E22:E32" si="5">E4*$E$17</f>
        <v>613.15642704037771</v>
      </c>
      <c r="F22" s="461">
        <f t="shared" ref="F22:F32" si="6">F4*$F$17</f>
        <v>38503.469434100436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96501.069813302689</v>
      </c>
    </row>
    <row r="23" spans="1:17">
      <c r="A23" s="460" t="s">
        <v>156</v>
      </c>
      <c r="B23" s="461">
        <f t="shared" ca="1" si="2"/>
        <v>31471.032310312377</v>
      </c>
      <c r="C23" s="461">
        <f t="shared" ca="1" si="3"/>
        <v>27.814214120497859</v>
      </c>
      <c r="D23" s="461">
        <f t="shared" ca="1" si="4"/>
        <v>21913.244494549148</v>
      </c>
      <c r="E23" s="461">
        <f t="shared" si="5"/>
        <v>262.92261016324557</v>
      </c>
      <c r="F23" s="461">
        <f t="shared" ca="1" si="6"/>
        <v>7701.4682558172162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61376.481884962486</v>
      </c>
    </row>
    <row r="24" spans="1:17">
      <c r="A24" s="460" t="s">
        <v>194</v>
      </c>
      <c r="B24" s="461">
        <f t="shared" ca="1" si="2"/>
        <v>783.90946772868506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783.90946772868506</v>
      </c>
    </row>
    <row r="25" spans="1:17">
      <c r="A25" s="460" t="s">
        <v>112</v>
      </c>
      <c r="B25" s="461">
        <f t="shared" ca="1" si="2"/>
        <v>83.455251750658547</v>
      </c>
      <c r="C25" s="461">
        <f t="shared" ca="1" si="3"/>
        <v>1.7780776150089954</v>
      </c>
      <c r="D25" s="461">
        <f t="shared" si="4"/>
        <v>177.82664464800001</v>
      </c>
      <c r="E25" s="461">
        <f t="shared" si="5"/>
        <v>0.87108053902032534</v>
      </c>
      <c r="F25" s="461">
        <f t="shared" si="6"/>
        <v>354.91402848341443</v>
      </c>
      <c r="G25" s="461">
        <f t="shared" si="7"/>
        <v>0</v>
      </c>
      <c r="H25" s="461">
        <f t="shared" si="8"/>
        <v>0</v>
      </c>
      <c r="I25" s="461">
        <f t="shared" si="9"/>
        <v>0</v>
      </c>
      <c r="J25" s="461">
        <f t="shared" si="10"/>
        <v>17.837775763557172</v>
      </c>
      <c r="K25" s="461">
        <f t="shared" si="11"/>
        <v>0</v>
      </c>
      <c r="L25" s="461">
        <f t="shared" si="12"/>
        <v>0</v>
      </c>
      <c r="M25" s="461">
        <f t="shared" si="13"/>
        <v>0</v>
      </c>
      <c r="N25" s="461">
        <f t="shared" si="14"/>
        <v>0</v>
      </c>
      <c r="O25" s="461">
        <f t="shared" si="15"/>
        <v>0</v>
      </c>
      <c r="P25" s="462">
        <f t="shared" si="16"/>
        <v>0</v>
      </c>
      <c r="Q25" s="460">
        <f t="shared" ca="1" si="17"/>
        <v>636.68285879965947</v>
      </c>
    </row>
    <row r="26" spans="1:17">
      <c r="A26" s="460" t="s">
        <v>685</v>
      </c>
      <c r="B26" s="461">
        <f t="shared" ca="1" si="2"/>
        <v>50825.066613360454</v>
      </c>
      <c r="C26" s="461">
        <f t="shared" ca="1" si="3"/>
        <v>0</v>
      </c>
      <c r="D26" s="461">
        <f t="shared" si="4"/>
        <v>19954.128272056001</v>
      </c>
      <c r="E26" s="461">
        <f t="shared" si="5"/>
        <v>515.70469530922276</v>
      </c>
      <c r="F26" s="461">
        <f t="shared" si="6"/>
        <v>24752.432731664412</v>
      </c>
      <c r="G26" s="461">
        <f t="shared" si="7"/>
        <v>0</v>
      </c>
      <c r="H26" s="461">
        <f t="shared" si="8"/>
        <v>0</v>
      </c>
      <c r="I26" s="461">
        <f t="shared" si="9"/>
        <v>0</v>
      </c>
      <c r="J26" s="461">
        <f t="shared" si="10"/>
        <v>333.45946935076165</v>
      </c>
      <c r="K26" s="461">
        <f t="shared" si="11"/>
        <v>0</v>
      </c>
      <c r="L26" s="461">
        <f t="shared" si="12"/>
        <v>0</v>
      </c>
      <c r="M26" s="461">
        <f t="shared" si="13"/>
        <v>0</v>
      </c>
      <c r="N26" s="461">
        <f t="shared" si="14"/>
        <v>0</v>
      </c>
      <c r="O26" s="461">
        <f t="shared" si="15"/>
        <v>0</v>
      </c>
      <c r="P26" s="462">
        <f t="shared" si="16"/>
        <v>0</v>
      </c>
      <c r="Q26" s="460">
        <f t="shared" ca="1" si="17"/>
        <v>96380.79178174086</v>
      </c>
    </row>
    <row r="27" spans="1:17" s="466" customFormat="1">
      <c r="A27" s="464" t="s">
        <v>579</v>
      </c>
      <c r="B27" s="772">
        <f t="shared" ca="1" si="2"/>
        <v>1.9864519081200291</v>
      </c>
      <c r="C27" s="465">
        <f t="shared" ca="1" si="3"/>
        <v>0</v>
      </c>
      <c r="D27" s="465">
        <f t="shared" si="4"/>
        <v>5.3623275990219286</v>
      </c>
      <c r="E27" s="465">
        <f t="shared" si="5"/>
        <v>376.21468301141147</v>
      </c>
      <c r="F27" s="465">
        <f t="shared" si="6"/>
        <v>0</v>
      </c>
      <c r="G27" s="465">
        <f t="shared" si="7"/>
        <v>93399.363703063704</v>
      </c>
      <c r="H27" s="465">
        <f t="shared" si="8"/>
        <v>14955.048774577648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108737.9759401599</v>
      </c>
    </row>
    <row r="28" spans="1:17">
      <c r="A28" s="460" t="s">
        <v>569</v>
      </c>
      <c r="B28" s="461">
        <f t="shared" ca="1" si="2"/>
        <v>0</v>
      </c>
      <c r="C28" s="461">
        <f t="shared" ca="1" si="3"/>
        <v>0</v>
      </c>
      <c r="D28" s="461">
        <f t="shared" si="4"/>
        <v>0</v>
      </c>
      <c r="E28" s="461">
        <f t="shared" si="5"/>
        <v>0</v>
      </c>
      <c r="F28" s="461">
        <f t="shared" si="6"/>
        <v>0</v>
      </c>
      <c r="G28" s="461">
        <f t="shared" si="7"/>
        <v>4299.1640512689919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4299.1640512689919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884.8575126035887</v>
      </c>
      <c r="C32" s="461">
        <f t="shared" ca="1" si="3"/>
        <v>0</v>
      </c>
      <c r="D32" s="461">
        <f t="shared" si="4"/>
        <v>2153.938322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3038.7958346035884</v>
      </c>
    </row>
    <row r="33" spans="1:17" s="473" customFormat="1">
      <c r="A33" s="470" t="s">
        <v>573</v>
      </c>
      <c r="B33" s="471">
        <f ca="1">SUM(B22:B32)</f>
        <v>111415.39828870975</v>
      </c>
      <c r="C33" s="471">
        <f t="shared" ref="C33:Q33" ca="1" si="18">SUM(C22:C32)</f>
        <v>29.592291735506855</v>
      </c>
      <c r="D33" s="471">
        <f t="shared" ca="1" si="18"/>
        <v>74223.853331968174</v>
      </c>
      <c r="E33" s="471">
        <f t="shared" si="18"/>
        <v>1768.8694960632779</v>
      </c>
      <c r="F33" s="471">
        <f t="shared" ca="1" si="18"/>
        <v>71312.284450065476</v>
      </c>
      <c r="G33" s="471">
        <f t="shared" si="18"/>
        <v>97698.527754332696</v>
      </c>
      <c r="H33" s="471">
        <f t="shared" si="18"/>
        <v>14955.048774577648</v>
      </c>
      <c r="I33" s="471">
        <f t="shared" si="18"/>
        <v>0</v>
      </c>
      <c r="J33" s="471">
        <f t="shared" si="18"/>
        <v>351.2972451143188</v>
      </c>
      <c r="K33" s="471">
        <f t="shared" si="18"/>
        <v>0</v>
      </c>
      <c r="L33" s="471">
        <f t="shared" ca="1" si="18"/>
        <v>0</v>
      </c>
      <c r="M33" s="471">
        <f t="shared" si="18"/>
        <v>0</v>
      </c>
      <c r="N33" s="471">
        <f t="shared" ca="1" si="18"/>
        <v>0</v>
      </c>
      <c r="O33" s="471">
        <f t="shared" si="18"/>
        <v>0</v>
      </c>
      <c r="P33" s="471">
        <f t="shared" si="18"/>
        <v>0</v>
      </c>
      <c r="Q33" s="471">
        <f t="shared" ca="1" si="18"/>
        <v>371754.87163256697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10429.445914654314</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28360.825652198779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83.625</v>
      </c>
      <c r="D8" s="1037">
        <f>'SEAP template'!D76</f>
        <v>98.146363402724248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19.8255654073503</v>
      </c>
    </row>
    <row r="9" spans="1:16">
      <c r="A9" s="1040" t="s">
        <v>924</v>
      </c>
      <c r="B9" s="1037">
        <f>'SEAP template'!B77</f>
        <v>877.5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2507.1428571428573</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39667.771566853095</v>
      </c>
      <c r="C10" s="1041">
        <f>SUM(C4:C9)</f>
        <v>83.625</v>
      </c>
      <c r="D10" s="1041">
        <f t="shared" ref="D10:H10" si="0">SUM(D8:D9)</f>
        <v>98.146363402724248</v>
      </c>
      <c r="E10" s="1041">
        <f t="shared" si="0"/>
        <v>0</v>
      </c>
      <c r="F10" s="1041">
        <f t="shared" si="0"/>
        <v>0</v>
      </c>
      <c r="G10" s="1041">
        <f t="shared" si="0"/>
        <v>0</v>
      </c>
      <c r="H10" s="1041">
        <f t="shared" si="0"/>
        <v>0</v>
      </c>
      <c r="I10" s="1041">
        <f>SUM(I8:I9)</f>
        <v>0</v>
      </c>
      <c r="J10" s="1041">
        <f>SUM(J8:J9)</f>
        <v>2507.1428571428573</v>
      </c>
      <c r="K10" s="1041">
        <f t="shared" ref="K10:L10" si="1">SUM(K8:K9)</f>
        <v>0</v>
      </c>
      <c r="L10" s="1041">
        <f t="shared" si="1"/>
        <v>0</v>
      </c>
      <c r="M10" s="1041">
        <f>SUM(M8:M9)</f>
        <v>0</v>
      </c>
      <c r="N10" s="1041">
        <f>SUM(N8:N9)</f>
        <v>0</v>
      </c>
      <c r="O10" s="1041">
        <f>SUM(O8:O9)</f>
        <v>0</v>
      </c>
      <c r="P10" s="1041">
        <f>SUM(P8:P9)</f>
        <v>19.8255654073503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0.20488162478619154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124.82142857142858</v>
      </c>
      <c r="D17" s="1038">
        <f>'SEAP template'!D87</f>
        <v>146.49649374013293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29.592291735506855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124.82142857142858</v>
      </c>
      <c r="D20" s="1041">
        <f t="shared" ref="D20:H20" si="2">SUM(D17:D19)</f>
        <v>146.49649374013293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29.592291735506855</v>
      </c>
    </row>
    <row r="22" spans="1:16">
      <c r="A22" s="474" t="s">
        <v>932</v>
      </c>
      <c r="B22" s="778" t="s">
        <v>926</v>
      </c>
      <c r="C22" s="778">
        <f ca="1">'EF ele_warmte'!B22</f>
        <v>0.23707701533453271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0.20488162478619154</v>
      </c>
      <c r="C17" s="510">
        <f ca="1">'EF ele_warmte'!B22</f>
        <v>0.23707701533453271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2019-08-12T07:56:12Z</dcterms:modified>
</cp:coreProperties>
</file>