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Q16" s="1"/>
  <c r="Q27" s="1"/>
  <c r="H18"/>
  <c r="G13" i="48"/>
  <c r="N18" i="14"/>
  <c r="M13" i="48"/>
  <c r="M31" s="1"/>
  <c r="P15"/>
  <c r="P22"/>
  <c r="P33" s="1"/>
  <c r="I23"/>
  <c r="I15"/>
  <c r="J12" i="17"/>
  <c r="K54" i="14" s="1"/>
  <c r="K56" s="1"/>
  <c r="J7" i="48"/>
  <c r="J25" s="1"/>
  <c r="K24" i="14"/>
  <c r="K26" s="1"/>
  <c r="J46"/>
  <c r="J61" s="1"/>
  <c r="L63"/>
  <c r="L46"/>
  <c r="L61" s="1"/>
  <c r="I33" i="48"/>
  <c r="K33"/>
  <c r="J63" i="14"/>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i="17"/>
  <c r="F54" i="14" s="1"/>
  <c r="F56" s="1"/>
  <c r="E12" i="13" l="1"/>
  <c r="F41" i="14" s="1"/>
  <c r="F11"/>
  <c r="R11" s="1"/>
  <c r="E4" i="48"/>
  <c r="O11" i="14"/>
  <c r="N4" i="48"/>
  <c r="N22" s="1"/>
  <c r="E9"/>
  <c r="E27" s="1"/>
  <c r="F20" i="14"/>
  <c r="F22" s="1"/>
  <c r="I20"/>
  <c r="H9" i="48"/>
  <c r="P13" i="14"/>
  <c r="O8" i="48"/>
  <c r="D9"/>
  <c r="D27" s="1"/>
  <c r="E20" i="14"/>
  <c r="E22" s="1"/>
  <c r="B9" i="48"/>
  <c r="C20" i="14"/>
  <c r="R18"/>
  <c r="H19"/>
  <c r="R19" s="1"/>
  <c r="G10" i="48"/>
  <c r="G31"/>
  <c r="Q13"/>
  <c r="K11" i="14"/>
  <c r="J4" i="48"/>
  <c r="E7"/>
  <c r="E25" s="1"/>
  <c r="F24" i="14"/>
  <c r="F26" s="1"/>
  <c r="P16"/>
  <c r="P27" s="1"/>
  <c r="H52"/>
  <c r="H61" s="1"/>
  <c r="I22"/>
  <c r="I27" s="1"/>
  <c r="D18" i="22"/>
  <c r="E50" i="14" s="1"/>
  <c r="E52" s="1"/>
  <c r="Q46"/>
  <c r="Q61" s="1"/>
  <c r="Q63" s="1"/>
  <c r="I52"/>
  <c r="I61" s="1"/>
  <c r="I63" s="1"/>
  <c r="M14" i="22"/>
  <c r="N19" i="14"/>
  <c r="M10" i="48"/>
  <c r="M28" s="1"/>
  <c r="M16" i="14"/>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M58" i="22"/>
  <c r="N49" i="14" s="1"/>
  <c r="H18" i="22"/>
  <c r="I50" i="14" s="1"/>
  <c r="N20" i="15"/>
  <c r="O40" i="14" s="1"/>
  <c r="F20" i="15"/>
  <c r="G40" i="14" s="1"/>
  <c r="N5" i="16"/>
  <c r="E5"/>
  <c r="J5"/>
  <c r="C35" i="13"/>
  <c r="F5" i="16"/>
  <c r="C36" i="13"/>
  <c r="N12"/>
  <c r="O41" i="14" s="1"/>
  <c r="C38" i="13"/>
  <c r="C39"/>
  <c r="C32"/>
  <c r="C34"/>
  <c r="J12"/>
  <c r="K41" i="14" s="1"/>
  <c r="L20" i="15"/>
  <c r="M40" i="14" s="1"/>
  <c r="M46" s="1"/>
  <c r="M9" i="48" l="1"/>
  <c r="N20" i="14"/>
  <c r="N22" s="1"/>
  <c r="N27" s="1"/>
  <c r="N63" s="1"/>
  <c r="J22" i="48"/>
  <c r="C22" i="14"/>
  <c r="H20"/>
  <c r="G9" i="48"/>
  <c r="K10" i="14"/>
  <c r="J5" i="48"/>
  <c r="J23" s="1"/>
  <c r="H27"/>
  <c r="H33" s="1"/>
  <c r="H15"/>
  <c r="M18" i="22"/>
  <c r="N50" i="14" s="1"/>
  <c r="N52" s="1"/>
  <c r="N61" s="1"/>
  <c r="H22"/>
  <c r="H27" s="1"/>
  <c r="H63" s="1"/>
  <c r="E5" i="48"/>
  <c r="E23" s="1"/>
  <c r="F10" i="14"/>
  <c r="G28" i="48"/>
  <c r="Q10"/>
  <c r="O26"/>
  <c r="O33" s="1"/>
  <c r="O15"/>
  <c r="E22"/>
  <c r="Q4"/>
  <c r="D15"/>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M27" i="48" l="1"/>
  <c r="M33" s="1"/>
  <c r="M15"/>
  <c r="K13" i="14"/>
  <c r="J8" i="48"/>
  <c r="J26" s="1"/>
  <c r="E8"/>
  <c r="F13" i="14"/>
  <c r="G27" i="48"/>
  <c r="G33" s="1"/>
  <c r="G15"/>
  <c r="K16" i="14"/>
  <c r="K27" s="1"/>
  <c r="K63" s="1"/>
  <c r="K46"/>
  <c r="K61" s="1"/>
  <c r="J33" i="48"/>
  <c r="F16" i="14"/>
  <c r="F27" s="1"/>
  <c r="Q5" i="48"/>
  <c r="R20" i="14"/>
  <c r="R22" s="1"/>
  <c r="Q9" i="48"/>
  <c r="F46" i="14"/>
  <c r="F61" s="1"/>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F63" i="14"/>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<sst xmlns="http://schemas.openxmlformats.org/spreadsheetml/2006/main" count="2495" uniqueCount="954">
  <si>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</si>
  <si>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</si>
  <si>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</si>
  <si>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</si>
  <si>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</si>
  <si>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</si>
  <si>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</si>
  <si>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</si>
  <si>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</si>
  <si>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</si>
  <si>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</si>
  <si>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</si>
  <si>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</si>
  <si>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</si>
  <si>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</si>
  <si>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</si>
  <si>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</si>
  <si>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</si>
  <si>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</si>
  <si>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</si>
  <si>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</si>
  <si>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</si>
  <si>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</si>
  <si>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</si>
  <si>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</si>
  <si>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</si>
  <si>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</si>
  <si>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</si>
  <si>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</si>
  <si>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</si>
  <si>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</si>
  <si>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</si>
  <si>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</si>
  <si>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</si>
  <si>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</si>
  <si>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</si>
  <si>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</si>
  <si>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</si>
  <si>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</si>
  <si>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</si>
  <si>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</si>
  <si>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</si>
  <si>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</si>
  <si>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</si>
  <si>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</si>
  <si>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</si>
  <si>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</si>
  <si>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</si>
  <si>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</si>
  <si>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</si>
  <si>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</si>
  <si>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</si>
  <si>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</si>
  <si>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</si>
  <si>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</si>
  <si>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</si>
  <si>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</si>
  <si>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</si>
  <si>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</si>
  <si>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</si>
  <si>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</si>
  <si>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</si>
  <si>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</si>
  <si>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</si>
  <si>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</si>
  <si>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</si>
  <si>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</si>
  <si>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</si>
  <si>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</si>
  <si>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</si>
  <si>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</si>
  <si>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</si>
  <si>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</si>
  <si>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</si>
  <si>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</si>
  <si>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</si>
  <si>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</si>
  <si>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</si>
  <si>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</si>
  <si>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</si>
  <si>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</si>
  <si>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</si>
  <si>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</si>
  <si>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</si>
  <si>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</si>
  <si>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</si>
  <si>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</si>
  <si>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</si>
  <si>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</si>
  <si>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</si>
  <si>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</si>
  <si>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</si>
  <si>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</si>
  <si>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</si>
  <si>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</si>
  <si>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</si>
  <si>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</si>
  <si>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</si>
  <si>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</si>
  <si>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</si>
  <si>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</si>
  <si>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</si>
  <si>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</si>
  <si>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</si>
  <si>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</si>
  <si>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</si>
  <si>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</si>
  <si>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</si>
  <si>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</si>
  <si>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</si>
  <si>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</si>
  <si>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</si>
  <si>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</si>
  <si>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</si>
  <si>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</si>
  <si>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</si>
  <si>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</si>
  <si>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</si>
  <si>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</si>
  <si>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</si>
  <si>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</si>
  <si>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</si>
  <si>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</si>
  <si>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</si>
  <si>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</si>
  <si>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</si>
  <si>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</si>
  <si>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</si>
  <si>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</si>
  <si>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</si>
  <si>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</si>
  <si>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</si>
  <si>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</si>
  <si>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</si>
  <si>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</si>
  <si>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</si>
  <si>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</si>
  <si>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</si>
  <si>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</si>
  <si>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</si>
  <si>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</si>
  <si>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</si>
  <si>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</si>
  <si>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</si>
  <si>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</si>
  <si>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</si>
  <si>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</si>
  <si>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</si>
  <si>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</si>
  <si>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</si>
  <si>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</si>
  <si>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</si>
  <si>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</si>
  <si>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</si>
  <si>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</si>
  <si>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</si>
  <si>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</si>
  <si>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</si>
  <si>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</si>
  <si>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</si>
  <si>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</si>
  <si>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</si>
  <si>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</si>
  <si>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</si>
  <si>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</si>
  <si>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</si>
  <si>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</si>
  <si>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</si>
  <si>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</si>
  <si>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</si>
  <si>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</si>
  <si>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</si>
  <si>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</si>
  <si>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</si>
  <si>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</si>
  <si>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</si>
  <si>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</si>
  <si>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</si>
  <si>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</si>
  <si>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</si>
  <si>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</si>
  <si>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</si>
  <si>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</si>
  <si>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</si>
  <si>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</si>
  <si>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</si>
  <si>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</si>
  <si>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</si>
  <si>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</si>
  <si>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</si>
  <si>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</si>
  <si>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</si>
  <si>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</si>
  <si>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</si>
  <si>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</si>
  <si>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</si>
  <si>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</si>
  <si>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</si>
  <si>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</si>
  <si>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</si>
  <si>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</si>
  <si>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</si>
  <si>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</si>
  <si>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</si>
  <si>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</si>
  <si>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</si>
  <si>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</si>
  <si>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</si>
  <si>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</si>
  <si>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</si>
  <si>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</si>
  <si>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</si>
  <si>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</si>
  <si>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</si>
  <si>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</si>
  <si>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</si>
  <si>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</si>
  <si>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</si>
  <si>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</si>
  <si>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</si>
  <si>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</si>
  <si>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</si>
  <si>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</si>
  <si>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</si>
  <si>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</si>
  <si>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</si>
  <si>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</si>
  <si>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</si>
  <si>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</si>
  <si>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</si>
  <si>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</si>
  <si>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</si>
  <si>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</si>
  <si>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</si>
  <si>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</si>
  <si>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</si>
  <si>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</si>
  <si>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</si>
  <si>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</si>
  <si>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</si>
  <si>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</si>
  <si>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</si>
  <si>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</si>
  <si>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</si>
  <si>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</si>
  <si>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</si>
  <si>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</si>
  <si>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</si>
  <si>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</si>
  <si>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</si>
  <si>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</si>
  <si>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</si>
  <si>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</si>
  <si>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</si>
  <si>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</si>
  <si>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</si>
  <si>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</si>
  <si>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</si>
  <si>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</si>
  <si>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</si>
  <si>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</si>
  <si>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</si>
  <si>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</si>
  <si>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</si>
  <si>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</si>
  <si>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</si>
  <si>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</si>
  <si>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</si>
  <si>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</si>
  <si>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</si>
  <si>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</si>
  <si>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</si>
  <si>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</si>
  <si>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</si>
  <si>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</si>
  <si>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</si>
  <si>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</si>
  <si>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</si>
  <si>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</si>
  <si>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</si>
  <si>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</si>
  <si>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</si>
  <si>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</si>
  <si>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</si>
  <si>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</si>
  <si>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</si>
  <si>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</si>
  <si>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</si>
  <si>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</si>
  <si>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</si>
  <si>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</si>
  <si>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</si>
  <si>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</si>
  <si>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</si>
  <si>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</si>
  <si>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</si>
  <si>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</si>
  <si>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</si>
  <si>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</si>
  <si>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</si>
  <si>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</si>
  <si>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</si>
  <si>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</si>
  <si>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</si>
  <si>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</si>
  <si>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</si>
  <si>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</si>
  <si>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</si>
  <si>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</si>
  <si>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</si>
  <si>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</si>
  <si>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</si>
  <si>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</si>
  <si>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</si>
  <si>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</si>
  <si>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</si>
  <si>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</si>
  <si>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</si>
  <si>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</si>
  <si>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</si>
  <si>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</si>
  <si>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</si>
  <si>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</si>
  <si>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</si>
  <si>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</si>
  <si>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</si>
  <si>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</si>
  <si>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</si>
  <si>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</si>
  <si>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</si>
  <si>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</si>
  <si>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</si>
  <si>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</si>
  <si>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</si>
  <si>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</si>
  <si>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</si>
  <si>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</si>
  <si>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</si>
  <si>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</si>
  <si>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</si>
  <si>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</si>
  <si>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</si>
  <si>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</si>
  <si>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</si>
  <si>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</si>
  <si>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</si>
  <si>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</si>
  <si>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</si>
  <si>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</si>
  <si>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</si>
  <si>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</si>
  <si>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</si>
  <si>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</si>
  <si>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</si>
  <si>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</si>
  <si>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</si>
  <si>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</si>
  <si>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</si>
  <si>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</si>
  <si>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</si>
  <si>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</si>
  <si>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</si>
  <si>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</si>
  <si>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</si>
  <si>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</si>
  <si>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</si>
  <si>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</si>
  <si>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</si>
  <si>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</si>
  <si>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</si>
  <si>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</si>
  <si>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</si>
  <si>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</si>
  <si>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</si>
  <si>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</si>
  <si>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</si>
  <si>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</si>
  <si>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</si>
  <si>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</si>
  <si>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</si>
  <si>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</si>
  <si>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</si>
  <si>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</si>
  <si>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</si>
  <si>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</si>
  <si>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</si>
  <si>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</si>
  <si>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</si>
  <si>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</si>
  <si>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</si>
  <si>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</si>
  <si>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</si>
  <si>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</si>
  <si>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</si>
  <si>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</si>
  <si>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</si>
  <si>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</si>
  <si>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</si>
  <si>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</si>
  <si>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</si>
  <si>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</si>
  <si>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</si>
  <si>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</si>
  <si>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</si>
  <si>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</si>
  <si>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</si>
  <si>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</si>
  <si>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</si>
  <si>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</si>
  <si>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</si>
  <si>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</si>
  <si>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</si>
  <si>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</si>
  <si>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</si>
  <si>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</si>
  <si>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</si>
  <si>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</si>
  <si>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</si>
  <si>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</si>
  <si>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</si>
  <si>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</si>
  <si>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</si>
  <si>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</si>
  <si>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</si>
  <si>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</si>
  <si>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</si>
  <si>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</si>
  <si>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</si>
  <si>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</si>
  <si>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</si>
  <si>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</si>
  <si>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</si>
  <si>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</si>
  <si>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</si>
  <si>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</si>
  <si>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</si>
  <si>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</si>
  <si>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</si>
  <si>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</si>
  <si>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</si>
  <si>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</si>
  <si>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</si>
  <si>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</si>
  <si>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</si>
  <si>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</si>
  <si>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</si>
  <si>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</si>
  <si>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</si>
  <si>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</si>
  <si>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</si>
  <si>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</si>
  <si>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</si>
  <si>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</si>
  <si>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</si>
  <si>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</si>
  <si>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</si>
  <si>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</si>
  <si>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</si>
  <si>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</si>
  <si>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</si>
  <si>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</si>
  <si>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</si>
  <si>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</si>
  <si>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</si>
  <si>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</si>
  <si>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</si>
  <si>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</si>
  <si>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</si>
  <si>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</si>
  <si>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</si>
  <si>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</si>
  <si>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</si>
  <si>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</si>
  <si>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</si>
  <si>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</si>
  <si>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</si>
  <si>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</si>
  <si>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</si>
  <si>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</si>
  <si>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</si>
  <si>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</si>
  <si>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</si>
  <si>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</si>
  <si>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</si>
  <si>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</si>
  <si>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</si>
  <si>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</si>
  <si>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</si>
  <si>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</si>
  <si>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</si>
  <si>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</si>
  <si>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</si>
  <si>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</si>
  <si>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</si>
  <si>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</si>
  <si>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</si>
  <si>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</si>
  <si>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</si>
  <si>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</si>
  <si>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</si>
  <si>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</si>
  <si>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</si>
  <si>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</si>
  <si>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</si>
  <si>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</si>
  <si>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</si>
  <si>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</si>
  <si>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</si>
  <si>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</si>
  <si>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</si>
  <si>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</si>
  <si>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</si>
  <si>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</si>
  <si>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</si>
  <si>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</si>
  <si>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</si>
  <si>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</si>
  <si>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</si>
  <si>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</si>
  <si>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</si>
  <si>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</si>
  <si>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</si>
  <si>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</si>
  <si>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</si>
  <si>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</si>
  <si>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</si>
  <si>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</si>
  <si>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</si>
  <si>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</si>
  <si>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</si>
  <si>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</si>
  <si>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</si>
  <si>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</si>
  <si>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</si>
  <si>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</si>
  <si>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</si>
  <si>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</si>
  <si>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</si>
  <si>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</si>
  <si>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</si>
  <si>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</si>
  <si>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</si>
  <si>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</si>
  <si>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</si>
  <si>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</si>
  <si>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</si>
  <si>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</si>
  <si>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</si>
  <si>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</si>
  <si>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</si>
  <si>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</si>
  <si>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</si>
  <si>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</si>
  <si>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</si>
  <si>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</si>
  <si>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</si>
  <si>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</si>
  <si>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</si>
  <si>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</si>
  <si>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</si>
  <si>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</si>
  <si>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</si>
  <si>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</si>
  <si>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</si>
  <si>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</si>
  <si>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</si>
  <si>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</si>
  <si>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</si>
  <si>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</si>
  <si>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</si>
  <si>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</si>
  <si>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</si>
  <si>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</si>
  <si>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</si>
  <si>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</si>
  <si>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</si>
  <si>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</si>
  <si>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</si>
  <si>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</si>
  <si>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</si>
  <si>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</si>
  <si>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</si>
  <si>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</si>
  <si>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</si>
  <si>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</si>
  <si>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</si>
  <si>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</si>
  <si>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</si>
  <si>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</si>
  <si>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</si>
  <si>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</si>
  <si>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</si>
  <si>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</si>
  <si>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</si>
  <si>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</si>
  <si>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</si>
  <si>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</si>
  <si>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</si>
  <si>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</si>
  <si>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</si>
  <si>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</si>
  <si>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</si>
  <si>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</si>
  <si>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</si>
  <si>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</si>
  <si>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</si>
  <si>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</si>
  <si>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</si>
  <si>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</si>
  <si>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</si>
  <si>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</si>
  <si>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</si>
  <si>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</si>
  <si>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</si>
  <si>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</si>
  <si>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</si>
  <si>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</si>
  <si>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</si>
  <si>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</si>
  <si>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</si>
  <si>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</si>
  <si>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</si>
  <si>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</si>
  <si>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</si>
  <si>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</si>
  <si>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</si>
  <si>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</si>
  <si>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</si>
  <si>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</si>
  <si>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</si>
  <si>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</si>
  <si>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</si>
  <si>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</si>
  <si>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</si>
  <si>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</si>
  <si>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</si>
  <si>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</si>
  <si>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</si>
  <si>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</si>
  <si>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</si>
  <si>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</si>
  <si>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</si>
  <si>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</si>
  <si>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</si>
  <si>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</si>
  <si>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</si>
  <si>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</si>
  <si>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</si>
  <si>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</si>
  <si>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</si>
  <si>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</si>
  <si>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</si>
  <si>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</si>
  <si>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</si>
  <si>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</si>
  <si>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</si>
  <si>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</si>
  <si>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</si>
  <si>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</si>
  <si>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</si>
  <si>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</si>
  <si>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</si>
  <si>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</si>
  <si>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</si>
  <si>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</si>
  <si>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</si>
  <si>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</si>
  <si>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</si>
  <si>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</si>
  <si>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</si>
  <si>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</si>
  <si>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</si>
  <si>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</si>
  <si>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</si>
  <si>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</si>
  <si>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</si>
  <si>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</si>
  <si>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</si>
  <si>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</si>
  <si>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</si>
  <si>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</si>
  <si>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</si>
  <si>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</si>
  <si>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</si>
  <si>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</si>
  <si>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</si>
  <si>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</si>
  <si>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</si>
  <si>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</si>
  <si>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</si>
  <si>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</si>
  <si>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</si>
  <si>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</si>
  <si>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</si>
  <si>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</si>
  <si>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</si>
  <si>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</si>
  <si>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</si>
  <si>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</si>
  <si>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</si>
  <si>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</si>
  <si>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</si>
  <si>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</si>
  <si>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</si>
  <si>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</si>
  <si>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</si>
  <si>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</si>
  <si>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</si>
  <si>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</si>
  <si>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</si>
  <si>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</si>
  <si>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</si>
  <si>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</si>
  <si>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</si>
  <si>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</si>
  <si>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</si>
  <si>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</si>
  <si>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</si>
  <si>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</si>
  <si>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</si>
  <si>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</si>
  <si>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</si>
  <si>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</si>
  <si>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</si>
  <si>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</si>
  <si>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</si>
  <si>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</si>
  <si>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</si>
  <si>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</si>
  <si>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</si>
  <si>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</si>
  <si>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</si>
  <si>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</si>
  <si>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</si>
  <si>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</si>
  <si>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</si>
  <si>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</si>
  <si>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</si>
  <si>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</si>
  <si>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</si>
  <si>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</si>
  <si>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</si>
  <si>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</si>
  <si>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</si>
  <si>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</si>
  <si>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</si>
  <si>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</si>
  <si>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</si>
  <si>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</si>
  <si>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</si>
  <si>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</si>
  <si>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</si>
  <si>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</si>
  <si>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</si>
  <si>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</si>
  <si>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</si>
  <si>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</si>
  <si>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</si>
  <si>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</si>
  <si>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</si>
  <si>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</si>
  <si>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</si>
  <si>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</si>
  <si>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</si>
  <si>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</si>
  <si>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</si>
  <si>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</si>
  <si>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</si>
  <si>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</si>
  <si>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</si>
  <si>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</si>
  <si>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</si>
  <si>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</si>
  <si>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</si>
  <si>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</si>
  <si>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</si>
  <si>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</si>
  <si>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</si>
  <si>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</si>
  <si>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</si>
  <si>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</si>
  <si>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</si>
  <si>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</si>
  <si>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</si>
  <si>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</si>
  <si>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</si>
  <si>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</si>
  <si>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</si>
  <si>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</si>
  <si>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</si>
  <si>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</si>
  <si>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</si>
  <si>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</si>
  <si>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</si>
  <si>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</si>
  <si>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</si>
  <si>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</si>
  <si>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</si>
  <si>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</si>
  <si>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</si>
  <si>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</si>
  <si>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</si>
  <si>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</si>
  <si>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</si>
  <si>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</si>
  <si>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</si>
  <si>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</si>
  <si>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</si>
  <si>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</si>
  <si>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</si>
  <si>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</si>
  <si>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</si>
  <si>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</si>
  <si>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</si>
  <si>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</si>
  <si>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</si>
  <si>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</si>
  <si>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</si>
  <si>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</si>
  <si>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</si>
  <si>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</si>
  <si>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</si>
  <si>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</si>
  <si>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</si>
  <si>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</si>
  <si>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</si>
  <si>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</si>
  <si>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</si>
  <si>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</si>
  <si>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</si>
  <si>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</si>
  <si>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</si>
  <si>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</si>
  <si>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</si>
  <si>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</si>
  <si>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</si>
  <si>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</si>
  <si>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</si>
  <si>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</si>
  <si>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</si>
  <si>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</si>
  <si>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</si>
  <si>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</si>
  <si>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</si>
  <si>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</si>
  <si>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</si>
  <si>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</si>
  <si>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</si>
  <si>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</si>
  <si>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</si>
  <si>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</si>
  <si>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</si>
  <si>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</si>
  <si>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</si>
  <si>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</si>
  <si>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</si>
  <si>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</si>
  <si>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</si>
  <si>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</si>
  <si>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</si>
  <si>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</si>
  <si>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</si>
  <si>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</si>
  <si>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</si>
  <si>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</si>
  <si>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</si>
  <si>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</si>
  <si>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</si>
  <si>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</si>
  <si>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</si>
  <si>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</si>
  <si>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</si>
  <si>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</si>
  <si>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</si>
  <si>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</si>
  <si>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</si>
  <si>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</si>
  <si>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</si>
  <si>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</si>
  <si>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</si>
  <si>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</si>
  <si>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</si>
  <si>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</si>
  <si>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</si>
  <si>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</si>
  <si>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</si>
  <si>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</si>
  <si>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</si>
  <si>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</si>
  <si>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</si>
  <si>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</si>
  <si>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</si>
  <si>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</si>
  <si>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</si>
  <si>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</si>
  <si>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</si>
  <si>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</si>
  <si>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</si>
  <si>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</si>
  <si>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</si>
  <si>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</si>
  <si>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</si>
  <si>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</si>
  <si>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</si>
  <si>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</si>
  <si>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</si>
  <si>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</si>
  <si>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</si>
  <si>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</si>
  <si>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</si>
  <si>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</si>
  <si>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</si>
  <si>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</si>
  <si>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</si>
  <si>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</si>
  <si>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</si>
  <si>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</si>
  <si>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</si>
  <si>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</si>
  <si>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</si>
  <si>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</si>
  <si>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</si>
  <si>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</si>
  <si>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</si>
  <si>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</si>
  <si>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</si>
  <si>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</si>
  <si>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</si>
  <si>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</si>
  <si>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</si>
  <si>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</si>
  <si>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</si>
  <si>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</si>
  <si>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</si>
  <si>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</si>
  <si>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</si>
  <si>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</si>
  <si>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</si>
  <si>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</si>
  <si>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</si>
  <si>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</si>
  <si>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</si>
  <si>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45041</t>
  </si>
  <si>
    <t>RONSE</t>
  </si>
  <si>
    <t>Paarden&amp;pony's 200 - 600 kg</t>
  </si>
  <si>
    <t>Paarden&amp;pony's &lt; 200 kg</t>
  </si>
  <si>
    <t>op basis van VEA (maart 2018) en Inventaris Hernieuwbare Energiebronnen (juni 2018)</t>
  </si>
  <si>
    <t>VEA (juni 2018)</t>
  </si>
  <si>
    <t>Unizo dienstencentrum VZW</t>
  </si>
  <si>
    <t>Einestraat 26 , 9700 Oudenaarde</t>
  </si>
  <si>
    <t>WKK-0425 Unizo dienstencentrum</t>
  </si>
  <si>
    <t>stirlingmotor</t>
  </si>
  <si>
    <t>Zonnestraat 46 , 9600 Ronse/Renaix</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</si>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</sst>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45041</v>
      </c>
      <c r="B6" s="397"/>
      <c r="C6" s="398"/>
    </row>
    <row r="7" spans="1:7" s="395" customFormat="1" ht="15.75" customHeight="1">
      <c r="A7" s="399" t="str">
        <f>txtMunicipality</f>
        <v>RONSE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0.21230012283607808</v>
      </c>
      <c r="C17" s="510">
        <f ca="1">'EF ele_warmte'!B22</f>
        <v>0.2244444444444445</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0.21230012283607808</v>
      </c>
      <c r="C29" s="511">
        <f ca="1">'EF ele_warmte'!B22</f>
        <v>0.2244444444444445</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45041</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10448</v>
      </c>
      <c r="C9" s="338">
        <v>11364</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1465</v>
      </c>
    </row>
    <row r="15" spans="1:6">
      <c r="A15" s="1286" t="s">
        <v>184</v>
      </c>
      <c r="B15" s="335">
        <v>9</v>
      </c>
    </row>
    <row r="16" spans="1:6">
      <c r="A16" s="1286" t="s">
        <v>6</v>
      </c>
      <c r="B16" s="335">
        <v>370</v>
      </c>
    </row>
    <row r="17" spans="1:6">
      <c r="A17" s="1286" t="s">
        <v>7</v>
      </c>
      <c r="B17" s="335">
        <v>420</v>
      </c>
    </row>
    <row r="18" spans="1:6">
      <c r="A18" s="1286" t="s">
        <v>8</v>
      </c>
      <c r="B18" s="335">
        <v>606</v>
      </c>
    </row>
    <row r="19" spans="1:6">
      <c r="A19" s="1286" t="s">
        <v>9</v>
      </c>
      <c r="B19" s="335">
        <v>500</v>
      </c>
    </row>
    <row r="20" spans="1:6">
      <c r="A20" s="1286" t="s">
        <v>10</v>
      </c>
      <c r="B20" s="335">
        <v>359</v>
      </c>
    </row>
    <row r="21" spans="1:6">
      <c r="A21" s="1286" t="s">
        <v>11</v>
      </c>
      <c r="B21" s="335">
        <v>280</v>
      </c>
    </row>
    <row r="22" spans="1:6">
      <c r="A22" s="1286" t="s">
        <v>12</v>
      </c>
      <c r="B22" s="335">
        <v>520</v>
      </c>
    </row>
    <row r="23" spans="1:6">
      <c r="A23" s="1286" t="s">
        <v>13</v>
      </c>
      <c r="B23" s="335">
        <v>12</v>
      </c>
    </row>
    <row r="24" spans="1:6">
      <c r="A24" s="1286" t="s">
        <v>14</v>
      </c>
      <c r="B24" s="335">
        <v>0</v>
      </c>
    </row>
    <row r="25" spans="1:6">
      <c r="A25" s="1286" t="s">
        <v>15</v>
      </c>
      <c r="B25" s="335">
        <v>104</v>
      </c>
    </row>
    <row r="26" spans="1:6">
      <c r="A26" s="1286" t="s">
        <v>16</v>
      </c>
      <c r="B26" s="335">
        <v>172</v>
      </c>
    </row>
    <row r="27" spans="1:6">
      <c r="A27" s="1286" t="s">
        <v>17</v>
      </c>
      <c r="B27" s="335">
        <v>0</v>
      </c>
    </row>
    <row r="28" spans="1:6" s="341" customFormat="1">
      <c r="A28" s="1287" t="s">
        <v>18</v>
      </c>
      <c r="B28" s="1287">
        <v>0</v>
      </c>
    </row>
    <row r="29" spans="1:6">
      <c r="A29" s="1287" t="s">
        <v>944</v>
      </c>
      <c r="B29" s="1287">
        <v>30</v>
      </c>
      <c r="C29" s="341"/>
      <c r="D29" s="341"/>
      <c r="E29" s="341"/>
      <c r="F29" s="341"/>
    </row>
    <row r="30" spans="1:6">
      <c r="A30" s="1282" t="s">
        <v>945</v>
      </c>
      <c r="B30" s="1282">
        <v>7</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5</v>
      </c>
      <c r="D36" s="335">
        <v>239739.32500520101</v>
      </c>
      <c r="E36" s="335">
        <v>8</v>
      </c>
      <c r="F36" s="335">
        <v>48549.7581755957</v>
      </c>
    </row>
    <row r="37" spans="1:6">
      <c r="A37" s="1286" t="s">
        <v>25</v>
      </c>
      <c r="B37" s="1286" t="s">
        <v>28</v>
      </c>
      <c r="C37" s="335">
        <v>0</v>
      </c>
      <c r="D37" s="335">
        <v>0</v>
      </c>
      <c r="E37" s="335">
        <v>0</v>
      </c>
      <c r="F37" s="335">
        <v>0</v>
      </c>
    </row>
    <row r="38" spans="1:6">
      <c r="A38" s="1286" t="s">
        <v>25</v>
      </c>
      <c r="B38" s="1286" t="s">
        <v>29</v>
      </c>
      <c r="C38" s="335">
        <v>3</v>
      </c>
      <c r="D38" s="335">
        <v>547718.84448515798</v>
      </c>
      <c r="E38" s="335">
        <v>2</v>
      </c>
      <c r="F38" s="335">
        <v>5822.7810981905004</v>
      </c>
    </row>
    <row r="39" spans="1:6">
      <c r="A39" s="1286" t="s">
        <v>30</v>
      </c>
      <c r="B39" s="1286" t="s">
        <v>31</v>
      </c>
      <c r="C39" s="335">
        <v>7699</v>
      </c>
      <c r="D39" s="335">
        <v>119107821.801338</v>
      </c>
      <c r="E39" s="335">
        <v>10622</v>
      </c>
      <c r="F39" s="335">
        <v>37274928.855034798</v>
      </c>
    </row>
    <row r="40" spans="1:6">
      <c r="A40" s="1286" t="s">
        <v>30</v>
      </c>
      <c r="B40" s="1286" t="s">
        <v>29</v>
      </c>
      <c r="C40" s="335">
        <v>0</v>
      </c>
      <c r="D40" s="335">
        <v>0</v>
      </c>
      <c r="E40" s="335">
        <v>0</v>
      </c>
      <c r="F40" s="335">
        <v>0</v>
      </c>
    </row>
    <row r="41" spans="1:6">
      <c r="A41" s="1286" t="s">
        <v>32</v>
      </c>
      <c r="B41" s="1286" t="s">
        <v>33</v>
      </c>
      <c r="C41" s="335">
        <v>69</v>
      </c>
      <c r="D41" s="335">
        <v>1713639.3469302901</v>
      </c>
      <c r="E41" s="335">
        <v>191</v>
      </c>
      <c r="F41" s="335">
        <v>3877283.66834985</v>
      </c>
    </row>
    <row r="42" spans="1:6">
      <c r="A42" s="1286" t="s">
        <v>32</v>
      </c>
      <c r="B42" s="1286" t="s">
        <v>34</v>
      </c>
      <c r="C42" s="335">
        <v>0</v>
      </c>
      <c r="D42" s="335">
        <v>0</v>
      </c>
      <c r="E42" s="335">
        <v>3</v>
      </c>
      <c r="F42" s="335">
        <v>232382.25184484999</v>
      </c>
    </row>
    <row r="43" spans="1:6">
      <c r="A43" s="1286" t="s">
        <v>32</v>
      </c>
      <c r="B43" s="1286" t="s">
        <v>35</v>
      </c>
      <c r="C43" s="335">
        <v>0</v>
      </c>
      <c r="D43" s="335">
        <v>0</v>
      </c>
      <c r="E43" s="335">
        <v>0</v>
      </c>
      <c r="F43" s="335">
        <v>0</v>
      </c>
    </row>
    <row r="44" spans="1:6">
      <c r="A44" s="1286" t="s">
        <v>32</v>
      </c>
      <c r="B44" s="1286" t="s">
        <v>36</v>
      </c>
      <c r="C44" s="335">
        <v>3</v>
      </c>
      <c r="D44" s="335">
        <v>87467.228251926004</v>
      </c>
      <c r="E44" s="335">
        <v>11</v>
      </c>
      <c r="F44" s="335">
        <v>343997.26540168998</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11</v>
      </c>
      <c r="D47" s="335">
        <v>402636.79404403601</v>
      </c>
      <c r="E47" s="335">
        <v>14</v>
      </c>
      <c r="F47" s="335">
        <v>137426.732450777</v>
      </c>
    </row>
    <row r="48" spans="1:6">
      <c r="A48" s="1286" t="s">
        <v>32</v>
      </c>
      <c r="B48" s="1286" t="s">
        <v>29</v>
      </c>
      <c r="C48" s="335">
        <v>37</v>
      </c>
      <c r="D48" s="335">
        <v>60730119.948077597</v>
      </c>
      <c r="E48" s="335">
        <v>40</v>
      </c>
      <c r="F48" s="335">
        <v>20162776.086012799</v>
      </c>
    </row>
    <row r="49" spans="1:6">
      <c r="A49" s="1286" t="s">
        <v>32</v>
      </c>
      <c r="B49" s="1286" t="s">
        <v>40</v>
      </c>
      <c r="C49" s="335">
        <v>12</v>
      </c>
      <c r="D49" s="335">
        <v>39617175.674741797</v>
      </c>
      <c r="E49" s="335">
        <v>32</v>
      </c>
      <c r="F49" s="335">
        <v>37326873.3763474</v>
      </c>
    </row>
    <row r="50" spans="1:6">
      <c r="A50" s="1286" t="s">
        <v>32</v>
      </c>
      <c r="B50" s="1286" t="s">
        <v>41</v>
      </c>
      <c r="C50" s="335">
        <v>13</v>
      </c>
      <c r="D50" s="335">
        <v>715216.55669666</v>
      </c>
      <c r="E50" s="335">
        <v>15</v>
      </c>
      <c r="F50" s="335">
        <v>314316.622059619</v>
      </c>
    </row>
    <row r="51" spans="1:6">
      <c r="A51" s="1286" t="s">
        <v>42</v>
      </c>
      <c r="B51" s="1286" t="s">
        <v>43</v>
      </c>
      <c r="C51" s="335">
        <v>4</v>
      </c>
      <c r="D51" s="335">
        <v>90653.474836801004</v>
      </c>
      <c r="E51" s="335">
        <v>37</v>
      </c>
      <c r="F51" s="335">
        <v>406450.81728579901</v>
      </c>
    </row>
    <row r="52" spans="1:6">
      <c r="A52" s="1286" t="s">
        <v>42</v>
      </c>
      <c r="B52" s="1286" t="s">
        <v>29</v>
      </c>
      <c r="C52" s="335">
        <v>2</v>
      </c>
      <c r="D52" s="335">
        <v>55270.223853566597</v>
      </c>
      <c r="E52" s="335">
        <v>5</v>
      </c>
      <c r="F52" s="335">
        <v>22014.7543619629</v>
      </c>
    </row>
    <row r="53" spans="1:6">
      <c r="A53" s="1286" t="s">
        <v>44</v>
      </c>
      <c r="B53" s="1286" t="s">
        <v>45</v>
      </c>
      <c r="C53" s="335">
        <v>191</v>
      </c>
      <c r="D53" s="335">
        <v>7876442.8030421399</v>
      </c>
      <c r="E53" s="335">
        <v>296</v>
      </c>
      <c r="F53" s="335">
        <v>1286823.9092027601</v>
      </c>
    </row>
    <row r="54" spans="1:6">
      <c r="A54" s="1286" t="s">
        <v>46</v>
      </c>
      <c r="B54" s="1286" t="s">
        <v>47</v>
      </c>
      <c r="C54" s="335">
        <v>0</v>
      </c>
      <c r="D54" s="335">
        <v>0</v>
      </c>
      <c r="E54" s="335">
        <v>1</v>
      </c>
      <c r="F54" s="335">
        <v>1856711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59</v>
      </c>
      <c r="D57" s="335">
        <v>2185869.1400430901</v>
      </c>
      <c r="E57" s="335">
        <v>102</v>
      </c>
      <c r="F57" s="335">
        <v>2142251.01632499</v>
      </c>
    </row>
    <row r="58" spans="1:6">
      <c r="A58" s="1286" t="s">
        <v>49</v>
      </c>
      <c r="B58" s="1286" t="s">
        <v>51</v>
      </c>
      <c r="C58" s="335">
        <v>39</v>
      </c>
      <c r="D58" s="335">
        <v>10061085.196634401</v>
      </c>
      <c r="E58" s="335">
        <v>68</v>
      </c>
      <c r="F58" s="335">
        <v>6832283.3432317302</v>
      </c>
    </row>
    <row r="59" spans="1:6">
      <c r="A59" s="1286" t="s">
        <v>49</v>
      </c>
      <c r="B59" s="1286" t="s">
        <v>52</v>
      </c>
      <c r="C59" s="335">
        <v>215</v>
      </c>
      <c r="D59" s="335">
        <v>8288603.8809160804</v>
      </c>
      <c r="E59" s="335">
        <v>358</v>
      </c>
      <c r="F59" s="335">
        <v>10431842.621957401</v>
      </c>
    </row>
    <row r="60" spans="1:6">
      <c r="A60" s="1286" t="s">
        <v>49</v>
      </c>
      <c r="B60" s="1286" t="s">
        <v>53</v>
      </c>
      <c r="C60" s="335">
        <v>73</v>
      </c>
      <c r="D60" s="335">
        <v>3474463.7680936302</v>
      </c>
      <c r="E60" s="335">
        <v>97</v>
      </c>
      <c r="F60" s="335">
        <v>2280873.4180616098</v>
      </c>
    </row>
    <row r="61" spans="1:6">
      <c r="A61" s="1286" t="s">
        <v>49</v>
      </c>
      <c r="B61" s="1286" t="s">
        <v>54</v>
      </c>
      <c r="C61" s="335">
        <v>218</v>
      </c>
      <c r="D61" s="335">
        <v>21129400.890496399</v>
      </c>
      <c r="E61" s="335">
        <v>458</v>
      </c>
      <c r="F61" s="335">
        <v>6944886.4210497905</v>
      </c>
    </row>
    <row r="62" spans="1:6">
      <c r="A62" s="1286" t="s">
        <v>49</v>
      </c>
      <c r="B62" s="1286" t="s">
        <v>55</v>
      </c>
      <c r="C62" s="335">
        <v>11</v>
      </c>
      <c r="D62" s="335">
        <v>2803876.9065399701</v>
      </c>
      <c r="E62" s="335">
        <v>20</v>
      </c>
      <c r="F62" s="335">
        <v>1228311.5288498099</v>
      </c>
    </row>
    <row r="63" spans="1:6">
      <c r="A63" s="1286" t="s">
        <v>49</v>
      </c>
      <c r="B63" s="1286" t="s">
        <v>29</v>
      </c>
      <c r="C63" s="335">
        <v>98</v>
      </c>
      <c r="D63" s="335">
        <v>5630561.5388322296</v>
      </c>
      <c r="E63" s="335">
        <v>91</v>
      </c>
      <c r="F63" s="335">
        <v>2606071.7613932001</v>
      </c>
    </row>
    <row r="64" spans="1:6">
      <c r="A64" s="1286" t="s">
        <v>56</v>
      </c>
      <c r="B64" s="1286" t="s">
        <v>57</v>
      </c>
      <c r="C64" s="335">
        <v>0</v>
      </c>
      <c r="D64" s="335">
        <v>0</v>
      </c>
      <c r="E64" s="335">
        <v>0</v>
      </c>
      <c r="F64" s="335">
        <v>0</v>
      </c>
    </row>
    <row r="65" spans="1:6">
      <c r="A65" s="1286" t="s">
        <v>56</v>
      </c>
      <c r="B65" s="1286" t="s">
        <v>29</v>
      </c>
      <c r="C65" s="335">
        <v>2</v>
      </c>
      <c r="D65" s="335">
        <v>25526.776977929701</v>
      </c>
      <c r="E65" s="335">
        <v>1</v>
      </c>
      <c r="F65" s="335">
        <v>510.03034133599999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6</v>
      </c>
      <c r="F68" s="335">
        <v>1824794.4592738701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55589852</v>
      </c>
      <c r="E73" s="335">
        <v>63561894.717664666</v>
      </c>
    </row>
    <row r="74" spans="1:6">
      <c r="A74" s="1286" t="s">
        <v>64</v>
      </c>
      <c r="B74" s="1286" t="s">
        <v>772</v>
      </c>
      <c r="C74" s="1297" t="s">
        <v>766</v>
      </c>
      <c r="D74" s="335">
        <v>18155470.33568066</v>
      </c>
      <c r="E74" s="335">
        <v>20629291.245825086</v>
      </c>
    </row>
    <row r="75" spans="1:6">
      <c r="A75" s="1286" t="s">
        <v>65</v>
      </c>
      <c r="B75" s="1286" t="s">
        <v>771</v>
      </c>
      <c r="C75" s="1297" t="s">
        <v>767</v>
      </c>
      <c r="D75" s="335">
        <v>17152915</v>
      </c>
      <c r="E75" s="335">
        <v>19662647.3508876</v>
      </c>
    </row>
    <row r="76" spans="1:6">
      <c r="A76" s="1286" t="s">
        <v>65</v>
      </c>
      <c r="B76" s="1286" t="s">
        <v>772</v>
      </c>
      <c r="C76" s="1297" t="s">
        <v>768</v>
      </c>
      <c r="D76" s="335">
        <v>1895421.3356806592</v>
      </c>
      <c r="E76" s="335">
        <v>2185807.6998851704</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218073.32863868185</v>
      </c>
      <c r="C83" s="335">
        <v>209453.80768629795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1391.2084882011163</v>
      </c>
    </row>
    <row r="92" spans="1:6">
      <c r="A92" s="1282" t="s">
        <v>69</v>
      </c>
      <c r="B92" s="338">
        <v>4005.9489451765007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5479</v>
      </c>
    </row>
    <row r="98" spans="1:6">
      <c r="A98" s="1286" t="s">
        <v>72</v>
      </c>
      <c r="B98" s="335">
        <v>0</v>
      </c>
    </row>
    <row r="99" spans="1:6">
      <c r="A99" s="1286" t="s">
        <v>73</v>
      </c>
      <c r="B99" s="335">
        <v>110</v>
      </c>
    </row>
    <row r="100" spans="1:6">
      <c r="A100" s="1286" t="s">
        <v>74</v>
      </c>
      <c r="B100" s="335">
        <v>487</v>
      </c>
    </row>
    <row r="101" spans="1:6">
      <c r="A101" s="1286" t="s">
        <v>75</v>
      </c>
      <c r="B101" s="335">
        <v>138</v>
      </c>
    </row>
    <row r="102" spans="1:6">
      <c r="A102" s="1286" t="s">
        <v>76</v>
      </c>
      <c r="B102" s="335">
        <v>237</v>
      </c>
    </row>
    <row r="103" spans="1:6">
      <c r="A103" s="1286" t="s">
        <v>77</v>
      </c>
      <c r="B103" s="335">
        <v>384</v>
      </c>
    </row>
    <row r="104" spans="1:6">
      <c r="A104" s="1286" t="s">
        <v>78</v>
      </c>
      <c r="B104" s="335">
        <v>2766</v>
      </c>
    </row>
    <row r="105" spans="1:6">
      <c r="A105" s="1282" t="s">
        <v>79</v>
      </c>
      <c r="B105" s="1282">
        <v>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3</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5</v>
      </c>
      <c r="C123" s="335">
        <v>7</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34</v>
      </c>
    </row>
    <row r="130" spans="1:6">
      <c r="A130" s="1286" t="s">
        <v>295</v>
      </c>
      <c r="B130" s="335">
        <v>0</v>
      </c>
    </row>
    <row r="131" spans="1:6">
      <c r="A131" s="1286" t="s">
        <v>296</v>
      </c>
      <c r="B131" s="335">
        <v>0</v>
      </c>
    </row>
    <row r="132" spans="1:6">
      <c r="A132" s="1282" t="s">
        <v>297</v>
      </c>
      <c r="B132" s="338">
        <v>7</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137101.88730446791</v>
      </c>
      <c r="C3" s="44" t="s">
        <v>170</v>
      </c>
      <c r="D3" s="44"/>
      <c r="E3" s="157"/>
      <c r="F3" s="44"/>
      <c r="G3" s="44"/>
      <c r="H3" s="44"/>
      <c r="I3" s="44"/>
      <c r="J3" s="44"/>
      <c r="K3" s="97"/>
    </row>
    <row r="4" spans="1:11">
      <c r="A4" s="365" t="s">
        <v>171</v>
      </c>
      <c r="B4" s="50">
        <f>IF(ISERROR('SEAP template'!B78+'SEAP template'!C78),0,'SEAP template'!B78+'SEAP template'!C78)</f>
        <v>5397.8002905204739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0.14428571428571427</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0.21230012283607808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0.72142857142857153</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3.214285714285714</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0.2244444444444445</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1856.711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1856.711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0.21230012283607808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394.17997337109739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37274.928855034799</v>
      </c>
      <c r="C5" s="18">
        <f>IF(ISERROR('Eigen informatie GS &amp; warmtenet'!B57),0,'Eigen informatie GS &amp; warmtenet'!B57)</f>
        <v>0</v>
      </c>
      <c r="D5" s="31">
        <f>(SUM(HH_hh_gas_kWh,HH_rest_gas_kWh)/1000)*0.902</f>
        <v>107435.25526480688</v>
      </c>
      <c r="E5" s="18">
        <f>B46*B57</f>
        <v>5959.4301936111278</v>
      </c>
      <c r="F5" s="18">
        <f>B51*B62</f>
        <v>15160.231134441279</v>
      </c>
      <c r="G5" s="19"/>
      <c r="H5" s="18"/>
      <c r="I5" s="18"/>
      <c r="J5" s="18">
        <f>B50*B61+C50*C61</f>
        <v>5112.2370490846333</v>
      </c>
      <c r="K5" s="18"/>
      <c r="L5" s="18"/>
      <c r="M5" s="18"/>
      <c r="N5" s="18">
        <f>B48*B59+C48*C59</f>
        <v>24279.848511653468</v>
      </c>
      <c r="O5" s="18">
        <f>B69*B70*B71</f>
        <v>64.096666666666678</v>
      </c>
      <c r="P5" s="18">
        <f>B77*B78*B79/1000-B77*B78*B79/1000/B80</f>
        <v>228.8</v>
      </c>
    </row>
    <row r="6" spans="1:16">
      <c r="A6" s="17" t="s">
        <v>639</v>
      </c>
      <c r="B6" s="780">
        <f>kWh_PV_kleiner_dan_10kW</f>
        <v>1391.2084882011163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38666.137343235918</v>
      </c>
      <c r="C8" s="22">
        <f>C5</f>
        <v>0</v>
      </c>
      <c r="D8" s="22">
        <f>D5</f>
        <v>107435.25526480688</v>
      </c>
      <c r="E8" s="22">
        <f>E5</f>
        <v>5959.4301936111278</v>
      </c>
      <c r="F8" s="22">
        <f>F5</f>
        <v>15160.231134441279</v>
      </c>
      <c r="G8" s="22"/>
      <c r="H8" s="22"/>
      <c r="I8" s="22"/>
      <c r="J8" s="22">
        <f>J5</f>
        <v>5112.2370490846333</v>
      </c>
      <c r="K8" s="22"/>
      <c r="L8" s="22">
        <f>L5</f>
        <v>0</v>
      </c>
      <c r="M8" s="22">
        <f>M5</f>
        <v>0</v>
      </c>
      <c r="N8" s="22">
        <f>N5</f>
        <v>24279.848511653468</v>
      </c>
      <c r="O8" s="22">
        <f>O5</f>
        <v>64.096666666666678</v>
      </c>
      <c r="P8" s="22">
        <f>P5</f>
        <v>228.8</v>
      </c>
    </row>
    <row r="9" spans="1:16">
      <c r="B9" s="20"/>
      <c r="C9" s="20"/>
      <c r="D9" s="262"/>
      <c r="E9" s="20"/>
      <c r="F9" s="20"/>
      <c r="G9" s="20"/>
      <c r="H9" s="20"/>
      <c r="I9" s="20"/>
      <c r="J9" s="20"/>
      <c r="K9" s="20"/>
      <c r="L9" s="20"/>
      <c r="M9" s="20"/>
      <c r="N9" s="20"/>
      <c r="O9" s="20"/>
      <c r="P9" s="20"/>
    </row>
    <row r="10" spans="1:16">
      <c r="A10" s="25" t="s">
        <v>214</v>
      </c>
      <c r="B10" s="26">
        <f ca="1">'EF ele_warmte'!B12</f>
        <v>0.21230012283607808</v>
      </c>
      <c r="C10" s="26">
        <f ca="1">'EF ele_warmte'!B22</f>
        <v>0.2244444444444445</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8208.8257075656511</v>
      </c>
      <c r="C12" s="24">
        <f ca="1">C10*C8</f>
        <v>0</v>
      </c>
      <c r="D12" s="24">
        <f>D8*D10</f>
        <v>21701.921563490992</v>
      </c>
      <c r="E12" s="24">
        <f>E10*E8</f>
        <v>1352.790653949726</v>
      </c>
      <c r="F12" s="24">
        <f>F10*F8</f>
        <v>4047.7817128958218</v>
      </c>
      <c r="G12" s="24"/>
      <c r="H12" s="24"/>
      <c r="I12" s="24"/>
      <c r="J12" s="24">
        <f>J10*J8</f>
        <v>1809.7319153759602</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5479</v>
      </c>
      <c r="C18" s="169" t="s">
        <v>111</v>
      </c>
      <c r="D18" s="231"/>
      <c r="E18" s="16"/>
    </row>
    <row r="19" spans="1:7">
      <c r="A19" s="174" t="s">
        <v>72</v>
      </c>
      <c r="B19" s="38">
        <f>aantalw2001_ander</f>
        <v>0</v>
      </c>
      <c r="C19" s="169" t="s">
        <v>111</v>
      </c>
      <c r="D19" s="232"/>
      <c r="E19" s="16"/>
    </row>
    <row r="20" spans="1:7">
      <c r="A20" s="174" t="s">
        <v>73</v>
      </c>
      <c r="B20" s="38">
        <f>aantalw2001_propaan</f>
        <v>110</v>
      </c>
      <c r="C20" s="170">
        <f>IF(ISERROR(B20/SUM($B$20,$B$21,$B$22)*100),0,B20/SUM($B$20,$B$21,$B$22)*100)</f>
        <v>14.965986394557824</v>
      </c>
      <c r="D20" s="232"/>
      <c r="E20" s="16"/>
    </row>
    <row r="21" spans="1:7">
      <c r="A21" s="174" t="s">
        <v>74</v>
      </c>
      <c r="B21" s="38">
        <f>aantalw2001_elektriciteit</f>
        <v>487</v>
      </c>
      <c r="C21" s="170">
        <f>IF(ISERROR(B21/SUM($B$20,$B$21,$B$22)*100),0,B21/SUM($B$20,$B$21,$B$22)*100)</f>
        <v>66.258503401360542</v>
      </c>
      <c r="D21" s="232"/>
      <c r="E21" s="16"/>
    </row>
    <row r="22" spans="1:7">
      <c r="A22" s="174" t="s">
        <v>75</v>
      </c>
      <c r="B22" s="38">
        <f>aantalw2001_hout</f>
        <v>138</v>
      </c>
      <c r="C22" s="170">
        <f>IF(ISERROR(B22/SUM($B$20,$B$21,$B$22)*100),0,B22/SUM($B$20,$B$21,$B$22)*100)</f>
        <v>18.775510204081634</v>
      </c>
      <c r="D22" s="232"/>
      <c r="E22" s="16"/>
    </row>
    <row r="23" spans="1:7">
      <c r="A23" s="174" t="s">
        <v>76</v>
      </c>
      <c r="B23" s="38">
        <f>aantalw2001_niet_gespec</f>
        <v>237</v>
      </c>
      <c r="C23" s="169" t="s">
        <v>111</v>
      </c>
      <c r="D23" s="231"/>
      <c r="E23" s="16"/>
    </row>
    <row r="24" spans="1:7">
      <c r="A24" s="174" t="s">
        <v>77</v>
      </c>
      <c r="B24" s="38">
        <f>aantalw2001_steenkool</f>
        <v>384</v>
      </c>
      <c r="C24" s="169" t="s">
        <v>111</v>
      </c>
      <c r="D24" s="232"/>
      <c r="E24" s="16"/>
    </row>
    <row r="25" spans="1:7">
      <c r="A25" s="174" t="s">
        <v>78</v>
      </c>
      <c r="B25" s="38">
        <f>aantalw2001_stookolie</f>
        <v>2766</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10448</v>
      </c>
      <c r="C28" s="37"/>
      <c r="D28" s="231"/>
    </row>
    <row r="29" spans="1:7" s="16" customFormat="1">
      <c r="A29" s="233" t="s">
        <v>666</v>
      </c>
      <c r="B29" s="38">
        <f>SUM(HH_hh_gas_aantal,HH_rest_gas_aantal)</f>
        <v>7699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7699</v>
      </c>
      <c r="C32" s="170">
        <f>IF(ISERROR(B32/SUM($B$32,$B$34,$B$35,$B$36,$B$38,$B$39)*100),0,B32/SUM($B$32,$B$34,$B$35,$B$36,$B$38,$B$39)*100)</f>
        <v>73.773476427750097</v>
      </c>
      <c r="D32" s="236"/>
      <c r="G32" s="16"/>
    </row>
    <row r="33" spans="1:7">
      <c r="A33" s="174" t="s">
        <v>72</v>
      </c>
      <c r="B33" s="35" t="s">
        <v>111</v>
      </c>
      <c r="C33" s="170"/>
      <c r="D33" s="236"/>
      <c r="G33" s="16"/>
    </row>
    <row r="34" spans="1:7">
      <c r="A34" s="174" t="s">
        <v>73</v>
      </c>
      <c r="B34" s="34">
        <f>IF((($B$28-$B$32-$B$39-$B$77-$B$38)*C20/100)&lt;0,0,($B$28-$B$32-$B$39-$B$77-$B$38)*C20/100)</f>
        <v>270.43537414965988</v>
      </c>
      <c r="C34" s="170">
        <f>IF(ISERROR(B34/SUM($B$32,$B$34,$B$35,$B$36,$B$38,$B$39)*100),0,B34/SUM($B$32,$B$34,$B$35,$B$36,$B$38,$B$39)*100)</f>
        <v>2.5913700090998457</v>
      </c>
      <c r="D34" s="236"/>
      <c r="G34" s="16"/>
    </row>
    <row r="35" spans="1:7">
      <c r="A35" s="174" t="s">
        <v>74</v>
      </c>
      <c r="B35" s="34">
        <f>IF((($B$28-$B$32-$B$39-$B$77-$B$38)*C21/100)&lt;0,0,($B$28-$B$32-$B$39-$B$77-$B$38)*C21/100)</f>
        <v>1197.2911564625851</v>
      </c>
      <c r="C35" s="170">
        <f>IF(ISERROR(B35/SUM($B$32,$B$34,$B$35,$B$36,$B$38,$B$39)*100),0,B35/SUM($B$32,$B$34,$B$35,$B$36,$B$38,$B$39)*100)</f>
        <v>11.472701767560226</v>
      </c>
      <c r="D35" s="236"/>
      <c r="G35" s="16"/>
    </row>
    <row r="36" spans="1:7">
      <c r="A36" s="174" t="s">
        <v>75</v>
      </c>
      <c r="B36" s="34">
        <f>IF((($B$28-$B$32-$B$39-$B$77-$B$38)*C22/100)&lt;0,0,($B$28-$B$32-$B$39-$B$77-$B$38)*C22/100)</f>
        <v>339.27346938775509</v>
      </c>
      <c r="C36" s="170">
        <f>IF(ISERROR(B36/SUM($B$32,$B$34,$B$35,$B$36,$B$38,$B$39)*100),0,B36/SUM($B$32,$B$34,$B$35,$B$36,$B$38,$B$39)*100)</f>
        <v>3.2509914659616239</v>
      </c>
      <c r="D36" s="236"/>
      <c r="G36" s="16"/>
    </row>
    <row r="37" spans="1:7">
      <c r="A37" s="174" t="s">
        <v>76</v>
      </c>
      <c r="B37" s="35" t="s">
        <v>111</v>
      </c>
      <c r="C37" s="170"/>
      <c r="D37" s="176"/>
      <c r="G37" s="16"/>
    </row>
    <row r="38" spans="1:7">
      <c r="A38" s="174" t="s">
        <v>77</v>
      </c>
      <c r="B38" s="34">
        <f>IF((B24-(B29-B18)*0.1)&lt;0,0,B24-(B29-B18)*0.1)</f>
        <v>162</v>
      </c>
      <c r="C38" s="170">
        <f>IF(ISERROR(B38/SUM($B$32,$B$34,$B$35,$B$36,$B$38,$B$39)*100),0,B38/SUM($B$32,$B$34,$B$35,$B$36,$B$38,$B$39)*100)</f>
        <v>1.552318896128785</v>
      </c>
      <c r="D38" s="237"/>
      <c r="G38" s="16"/>
    </row>
    <row r="39" spans="1:7">
      <c r="A39" s="174" t="s">
        <v>78</v>
      </c>
      <c r="B39" s="34">
        <f>IF((B25-(B29-B18))&lt;0,0,B25-(B29-B18)*0.9)</f>
        <v>768</v>
      </c>
      <c r="C39" s="170">
        <f>IF(ISERROR(B39/SUM($B$32,$B$34,$B$35,$B$36,$B$38,$B$39)*100),0,B39/SUM($B$32,$B$34,$B$35,$B$36,$B$38,$B$39)*100)</f>
        <v>7.359141433499425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7699</v>
      </c>
      <c r="C44" s="35" t="s">
        <v>111</v>
      </c>
      <c r="D44" s="177"/>
    </row>
    <row r="45" spans="1:7">
      <c r="A45" s="174" t="s">
        <v>72</v>
      </c>
      <c r="B45" s="34" t="str">
        <f t="shared" si="0"/>
        <v>-</v>
      </c>
      <c r="C45" s="35" t="s">
        <v>111</v>
      </c>
      <c r="D45" s="177"/>
    </row>
    <row r="46" spans="1:7">
      <c r="A46" s="174" t="s">
        <v>73</v>
      </c>
      <c r="B46" s="34">
        <f t="shared" si="0"/>
        <v>270.43537414965988</v>
      </c>
      <c r="C46" s="35" t="s">
        <v>111</v>
      </c>
      <c r="D46" s="177"/>
    </row>
    <row r="47" spans="1:7">
      <c r="A47" s="174" t="s">
        <v>74</v>
      </c>
      <c r="B47" s="34">
        <f t="shared" si="0"/>
        <v>1197.2911564625851</v>
      </c>
      <c r="C47" s="35" t="s">
        <v>111</v>
      </c>
      <c r="D47" s="177"/>
    </row>
    <row r="48" spans="1:7">
      <c r="A48" s="174" t="s">
        <v>75</v>
      </c>
      <c r="B48" s="34">
        <f t="shared" si="0"/>
        <v>339.27346938775509</v>
      </c>
      <c r="C48" s="34">
        <f>B48*10</f>
        <v>3392.7346938775509</v>
      </c>
      <c r="D48" s="237"/>
    </row>
    <row r="49" spans="1:6">
      <c r="A49" s="174" t="s">
        <v>76</v>
      </c>
      <c r="B49" s="34" t="str">
        <f t="shared" si="0"/>
        <v>-</v>
      </c>
      <c r="C49" s="35" t="s">
        <v>111</v>
      </c>
      <c r="D49" s="237"/>
    </row>
    <row r="50" spans="1:6">
      <c r="A50" s="174" t="s">
        <v>77</v>
      </c>
      <c r="B50" s="34">
        <f t="shared" si="0"/>
        <v>162</v>
      </c>
      <c r="C50" s="34">
        <f>B50*2</f>
        <v>324</v>
      </c>
      <c r="D50" s="237"/>
    </row>
    <row r="51" spans="1:6">
      <c r="A51" s="174" t="s">
        <v>78</v>
      </c>
      <c r="B51" s="34">
        <f t="shared" si="0"/>
        <v>768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32466.520110868532</v>
      </c>
      <c r="C5" s="18">
        <f>IF(ISERROR('Eigen informatie GS &amp; warmtenet'!B58),0,'Eigen informatie GS &amp; warmtenet'!B58)</f>
        <v>0</v>
      </c>
      <c r="D5" s="31">
        <f>SUM(D6:D12)</f>
        <v>48323.622912043327</v>
      </c>
      <c r="E5" s="18">
        <f>SUM(E6:E12)</f>
        <v>233.50659835884747</v>
      </c>
      <c r="F5" s="18">
        <f>SUM(F6:F12)</f>
        <v>7457.3924582385835</v>
      </c>
      <c r="G5" s="19"/>
      <c r="H5" s="18"/>
      <c r="I5" s="18"/>
      <c r="J5" s="18">
        <f>SUM(J6:J12)</f>
        <v>0</v>
      </c>
      <c r="K5" s="18"/>
      <c r="L5" s="18"/>
      <c r="M5" s="18"/>
      <c r="N5" s="18">
        <f>SUM(N6:N12)</f>
        <v>1523.5913488636902</v>
      </c>
      <c r="O5" s="18">
        <f>B38*B39*B40</f>
        <v>0</v>
      </c>
      <c r="P5" s="18">
        <f>B46*B47*B48/1000-B46*B47*B48/1000/B49</f>
        <v>0</v>
      </c>
      <c r="R5" s="33"/>
    </row>
    <row r="6" spans="1:18">
      <c r="A6" s="33" t="s">
        <v>54</v>
      </c>
      <c r="B6" s="38">
        <f>B26</f>
        <v>6944.8864210497904</v>
      </c>
      <c r="C6" s="34"/>
      <c r="D6" s="38">
        <f>IF(ISERROR(TER_kantoor_gas_kWh/1000),0,TER_kantoor_gas_kWh/1000)*0.902</f>
        <v>19058.719603227753</v>
      </c>
      <c r="E6" s="34">
        <f>$C$26*'E Balans VL '!I12/100/3.6*1000000</f>
        <v>11.397966177694158</v>
      </c>
      <c r="F6" s="34">
        <f>$C$26*('E Balans VL '!L12+'E Balans VL '!N12)/100/3.6*1000000</f>
        <v>818.63870473787927</v>
      </c>
      <c r="G6" s="35"/>
      <c r="H6" s="34"/>
      <c r="I6" s="34"/>
      <c r="J6" s="34">
        <f>$C$26*('E Balans VL '!D12+'E Balans VL '!E12)/100/3.6*1000000</f>
        <v>0</v>
      </c>
      <c r="K6" s="34"/>
      <c r="L6" s="34"/>
      <c r="M6" s="34"/>
      <c r="N6" s="34">
        <f>$C$26*'E Balans VL '!Y12/100/3.6*1000000</f>
        <v>1.4031814146435555</v>
      </c>
      <c r="O6" s="34"/>
      <c r="P6" s="34"/>
      <c r="R6" s="33"/>
    </row>
    <row r="7" spans="1:18">
      <c r="A7" s="33" t="s">
        <v>53</v>
      </c>
      <c r="B7" s="38">
        <f t="shared" ref="B7:B12" si="0">B27</f>
        <v>2280.8734180616098</v>
      </c>
      <c r="C7" s="34"/>
      <c r="D7" s="38">
        <f>IF(ISERROR(TER_horeca_gas_kWh/1000),0,TER_horeca_gas_kWh/1000)*0.902</f>
        <v>3133.9663188204545</v>
      </c>
      <c r="E7" s="34">
        <f>$C$27*'E Balans VL '!I9/100/3.6*1000000</f>
        <v>118.36082564415588</v>
      </c>
      <c r="F7" s="34">
        <f>$C$27*('E Balans VL '!L9+'E Balans VL '!N9)/100/3.6*1000000</f>
        <v>520.49696901161394</v>
      </c>
      <c r="G7" s="35"/>
      <c r="H7" s="34"/>
      <c r="I7" s="34"/>
      <c r="J7" s="34">
        <f>$C$27*('E Balans VL '!D9+'E Balans VL '!E9)/100/3.6*1000000</f>
        <v>0</v>
      </c>
      <c r="K7" s="34"/>
      <c r="L7" s="34"/>
      <c r="M7" s="34"/>
      <c r="N7" s="34">
        <f>$C$27*'E Balans VL '!Y9/100/3.6*1000000</f>
        <v>0.24085918769146034</v>
      </c>
      <c r="O7" s="34"/>
      <c r="P7" s="34"/>
      <c r="R7" s="33"/>
    </row>
    <row r="8" spans="1:18">
      <c r="A8" s="6" t="s">
        <v>52</v>
      </c>
      <c r="B8" s="38">
        <f t="shared" si="0"/>
        <v>10431.842621957401</v>
      </c>
      <c r="C8" s="34"/>
      <c r="D8" s="38">
        <f>IF(ISERROR(TER_handel_gas_kWh/1000),0,TER_handel_gas_kWh/1000)*0.902</f>
        <v>7476.3207005863042</v>
      </c>
      <c r="E8" s="34">
        <f>$C$28*'E Balans VL '!I13/100/3.6*1000000</f>
        <v>56.176754422320144</v>
      </c>
      <c r="F8" s="34">
        <f>$C$28*('E Balans VL '!L13+'E Balans VL '!N13)/100/3.6*1000000</f>
        <v>2127.3627170585619</v>
      </c>
      <c r="G8" s="35"/>
      <c r="H8" s="34"/>
      <c r="I8" s="34"/>
      <c r="J8" s="34">
        <f>$C$28*('E Balans VL '!D13+'E Balans VL '!E13)/100/3.6*1000000</f>
        <v>0</v>
      </c>
      <c r="K8" s="34"/>
      <c r="L8" s="34"/>
      <c r="M8" s="34"/>
      <c r="N8" s="34">
        <f>$C$28*'E Balans VL '!Y13/100/3.6*1000000</f>
        <v>51.872044460738636</v>
      </c>
      <c r="O8" s="34"/>
      <c r="P8" s="34"/>
      <c r="R8" s="33"/>
    </row>
    <row r="9" spans="1:18">
      <c r="A9" s="33" t="s">
        <v>51</v>
      </c>
      <c r="B9" s="38">
        <f t="shared" si="0"/>
        <v>6832.2833432317302</v>
      </c>
      <c r="C9" s="34"/>
      <c r="D9" s="38">
        <f>IF(ISERROR(TER_gezond_gas_kWh/1000),0,TER_gezond_gas_kWh/1000)*0.902</f>
        <v>9075.0988473642283</v>
      </c>
      <c r="E9" s="34">
        <f>$C$29*'E Balans VL '!I10/100/3.6*1000000</f>
        <v>6.7708704895472689</v>
      </c>
      <c r="F9" s="34">
        <f>$C$29*('E Balans VL '!L10+'E Balans VL '!N10)/100/3.6*1000000</f>
        <v>2370.6053870892501</v>
      </c>
      <c r="G9" s="35"/>
      <c r="H9" s="34"/>
      <c r="I9" s="34"/>
      <c r="J9" s="34">
        <f>$C$29*('E Balans VL '!D10+'E Balans VL '!E10)/100/3.6*1000000</f>
        <v>0</v>
      </c>
      <c r="K9" s="34"/>
      <c r="L9" s="34"/>
      <c r="M9" s="34"/>
      <c r="N9" s="34">
        <f>$C$29*'E Balans VL '!Y10/100/3.6*1000000</f>
        <v>58.873193690759443</v>
      </c>
      <c r="O9" s="34"/>
      <c r="P9" s="34"/>
      <c r="R9" s="33"/>
    </row>
    <row r="10" spans="1:18">
      <c r="A10" s="33" t="s">
        <v>50</v>
      </c>
      <c r="B10" s="38">
        <f t="shared" si="0"/>
        <v>2142.2510163249899</v>
      </c>
      <c r="C10" s="34"/>
      <c r="D10" s="38">
        <f>IF(ISERROR(TER_ander_gas_kWh/1000),0,TER_ander_gas_kWh/1000)*0.902</f>
        <v>1971.6539643188676</v>
      </c>
      <c r="E10" s="34">
        <f>$C$30*'E Balans VL '!I14/100/3.6*1000000</f>
        <v>17.525754340949888</v>
      </c>
      <c r="F10" s="34">
        <f>$C$30*('E Balans VL '!L14+'E Balans VL '!N14)/100/3.6*1000000</f>
        <v>626.30698252242678</v>
      </c>
      <c r="G10" s="35"/>
      <c r="H10" s="34"/>
      <c r="I10" s="34"/>
      <c r="J10" s="34">
        <f>$C$30*('E Balans VL '!D14+'E Balans VL '!E14)/100/3.6*1000000</f>
        <v>0</v>
      </c>
      <c r="K10" s="34"/>
      <c r="L10" s="34"/>
      <c r="M10" s="34"/>
      <c r="N10" s="34">
        <f>$C$30*'E Balans VL '!Y14/100/3.6*1000000</f>
        <v>1235.7977493358844</v>
      </c>
      <c r="O10" s="34"/>
      <c r="P10" s="34"/>
      <c r="R10" s="33"/>
    </row>
    <row r="11" spans="1:18">
      <c r="A11" s="33" t="s">
        <v>55</v>
      </c>
      <c r="B11" s="38">
        <f t="shared" si="0"/>
        <v>1228.31152884981</v>
      </c>
      <c r="C11" s="34"/>
      <c r="D11" s="38">
        <f>IF(ISERROR(TER_onderwijs_gas_kWh/1000),0,TER_onderwijs_gas_kWh/1000)*0.902</f>
        <v>2529.0969696990533</v>
      </c>
      <c r="E11" s="34">
        <f>$C$31*'E Balans VL '!I11/100/3.6*1000000</f>
        <v>0.75707939877408148</v>
      </c>
      <c r="F11" s="34">
        <f>$C$31*('E Balans VL '!L11+'E Balans VL '!N11)/100/3.6*1000000</f>
        <v>474.8851291523618</v>
      </c>
      <c r="G11" s="35"/>
      <c r="H11" s="34"/>
      <c r="I11" s="34"/>
      <c r="J11" s="34">
        <f>$C$31*('E Balans VL '!D11+'E Balans VL '!E11)/100/3.6*1000000</f>
        <v>0</v>
      </c>
      <c r="K11" s="34"/>
      <c r="L11" s="34"/>
      <c r="M11" s="34"/>
      <c r="N11" s="34">
        <f>$C$31*'E Balans VL '!Y11/100/3.6*1000000</f>
        <v>3.9954341818079593</v>
      </c>
      <c r="O11" s="34"/>
      <c r="P11" s="34"/>
      <c r="R11" s="33"/>
    </row>
    <row r="12" spans="1:18">
      <c r="A12" s="33" t="s">
        <v>260</v>
      </c>
      <c r="B12" s="38">
        <f t="shared" si="0"/>
        <v>2606.0717613932002</v>
      </c>
      <c r="C12" s="34"/>
      <c r="D12" s="38">
        <f>IF(ISERROR(TER_rest_gas_kWh/1000),0,TER_rest_gas_kWh/1000)*0.902</f>
        <v>5078.7665080266706</v>
      </c>
      <c r="E12" s="34">
        <f>$C$32*'E Balans VL '!I8/100/3.6*1000000</f>
        <v>22.517347885406071</v>
      </c>
      <c r="F12" s="34">
        <f>$C$32*('E Balans VL '!L8+'E Balans VL '!N8)/100/3.6*1000000</f>
        <v>519.09656866649061</v>
      </c>
      <c r="G12" s="35"/>
      <c r="H12" s="34"/>
      <c r="I12" s="34"/>
      <c r="J12" s="34">
        <f>$C$32*('E Balans VL '!D8+'E Balans VL '!E8)/100/3.6*1000000</f>
        <v>0</v>
      </c>
      <c r="K12" s="34"/>
      <c r="L12" s="34"/>
      <c r="M12" s="34"/>
      <c r="N12" s="34">
        <f>$C$32*'E Balans VL '!Y8/100/3.6*1000000</f>
        <v>171.40888659216469</v>
      </c>
      <c r="O12" s="34"/>
      <c r="P12" s="34"/>
      <c r="R12" s="33"/>
    </row>
    <row r="13" spans="1:18">
      <c r="A13" s="17" t="s">
        <v>502</v>
      </c>
      <c r="B13" s="250">
        <f ca="1">'lokale energieproductie'!N91+'lokale energieproductie'!N60</f>
        <v>0.64285714285714279</v>
      </c>
      <c r="C13" s="250">
        <f ca="1">'lokale energieproductie'!O91+'lokale energieproductie'!O60</f>
        <v>3.214285714285714</v>
      </c>
      <c r="D13" s="312">
        <f ca="1">('lokale energieproductie'!P60+'lokale energieproductie'!P91)*(-1)</f>
        <v>-4.2857142857142856</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32467.162968011391</v>
      </c>
      <c r="C16" s="22">
        <f t="shared" ca="1" si="1"/>
        <v>3.214285714285714</v>
      </c>
      <c r="D16" s="22">
        <f t="shared" ca="1" si="1"/>
        <v>48319.33719775761</v>
      </c>
      <c r="E16" s="22">
        <f t="shared" si="1"/>
        <v>233.50659835884747</v>
      </c>
      <c r="F16" s="22">
        <f t="shared" ca="1" si="1"/>
        <v>7457.3924582385835</v>
      </c>
      <c r="G16" s="22">
        <f t="shared" si="1"/>
        <v>0</v>
      </c>
      <c r="H16" s="22">
        <f t="shared" si="1"/>
        <v>0</v>
      </c>
      <c r="I16" s="22">
        <f t="shared" si="1"/>
        <v>0</v>
      </c>
      <c r="J16" s="22">
        <f t="shared" si="1"/>
        <v>0</v>
      </c>
      <c r="K16" s="22">
        <f t="shared" si="1"/>
        <v>0</v>
      </c>
      <c r="L16" s="22">
        <f t="shared" ca="1" si="1"/>
        <v>0</v>
      </c>
      <c r="M16" s="22">
        <f t="shared" si="1"/>
        <v>0</v>
      </c>
      <c r="N16" s="22">
        <f t="shared" ca="1" si="1"/>
        <v>1523.5913488636902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0.21230012283607808</v>
      </c>
      <c r="C18" s="26">
        <f ca="1">'EF ele_warmte'!B22</f>
        <v>0.2244444444444445</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6892.7826862477832</v>
      </c>
      <c r="C20" s="24">
        <f t="shared" ref="C20:P20" ca="1" si="2">C16*C18</f>
        <v>0.72142857142857153</v>
      </c>
      <c r="D20" s="24">
        <f t="shared" ca="1" si="2"/>
        <v>9760.5061139470381</v>
      </c>
      <c r="E20" s="24">
        <f t="shared" si="2"/>
        <v>53.00599782745838</v>
      </c>
      <c r="F20" s="24">
        <f t="shared" ca="1" si="2"/>
        <v>1991.123786349702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6944.8864210497904</v>
      </c>
      <c r="C26" s="40">
        <f>IF(ISERROR(B26*3.6/1000000/'E Balans VL '!Z12*100),0,B26*3.6/1000000/'E Balans VL '!Z12*100)</f>
        <v>0.14757385605366055</v>
      </c>
      <c r="D26" s="240" t="s">
        <v>707</v>
      </c>
      <c r="F26" s="6"/>
    </row>
    <row r="27" spans="1:18">
      <c r="A27" s="234" t="s">
        <v>53</v>
      </c>
      <c r="B27" s="34">
        <f>IF(ISERROR(TER_horeca_ele_kWh/1000),0,TER_horeca_ele_kWh/1000)</f>
        <v>2280.8734180616098</v>
      </c>
      <c r="C27" s="40">
        <f>IF(ISERROR(B27*3.6/1000000/'E Balans VL '!Z9*100),0,B27*3.6/1000000/'E Balans VL '!Z9*100)</f>
        <v>0.17952237591910089</v>
      </c>
      <c r="D27" s="240" t="s">
        <v>707</v>
      </c>
      <c r="F27" s="6"/>
    </row>
    <row r="28" spans="1:18">
      <c r="A28" s="174" t="s">
        <v>52</v>
      </c>
      <c r="B28" s="34">
        <f>IF(ISERROR(TER_handel_ele_kWh/1000),0,TER_handel_ele_kWh/1000)</f>
        <v>10431.842621957401</v>
      </c>
      <c r="C28" s="40">
        <f>IF(ISERROR(B28*3.6/1000000/'E Balans VL '!Z13*100),0,B28*3.6/1000000/'E Balans VL '!Z13*100)</f>
        <v>0.29220149474278673</v>
      </c>
      <c r="D28" s="240" t="s">
        <v>707</v>
      </c>
      <c r="F28" s="6"/>
    </row>
    <row r="29" spans="1:18">
      <c r="A29" s="234" t="s">
        <v>51</v>
      </c>
      <c r="B29" s="34">
        <f>IF(ISERROR(TER_gezond_ele_kWh/1000),0,TER_gezond_ele_kWh/1000)</f>
        <v>6832.2833432317302</v>
      </c>
      <c r="C29" s="40">
        <f>IF(ISERROR(B29*3.6/1000000/'E Balans VL '!Z10*100),0,B29*3.6/1000000/'E Balans VL '!Z10*100)</f>
        <v>0.87405563952695131</v>
      </c>
      <c r="D29" s="240" t="s">
        <v>707</v>
      </c>
      <c r="F29" s="6"/>
    </row>
    <row r="30" spans="1:18">
      <c r="A30" s="234" t="s">
        <v>50</v>
      </c>
      <c r="B30" s="34">
        <f>IF(ISERROR(TER_ander_ele_kWh/1000),0,TER_ander_ele_kWh/1000)</f>
        <v>2142.2510163249899</v>
      </c>
      <c r="C30" s="40">
        <f>IF(ISERROR(B30*3.6/1000000/'E Balans VL '!Z14*100),0,B30*3.6/1000000/'E Balans VL '!Z14*100)</f>
        <v>0.1602223250987159</v>
      </c>
      <c r="D30" s="240" t="s">
        <v>707</v>
      </c>
      <c r="F30" s="6"/>
    </row>
    <row r="31" spans="1:18">
      <c r="A31" s="234" t="s">
        <v>55</v>
      </c>
      <c r="B31" s="34">
        <f>IF(ISERROR(TER_onderwijs_ele_kWh/1000),0,TER_onderwijs_ele_kWh/1000)</f>
        <v>1228.31152884981</v>
      </c>
      <c r="C31" s="40">
        <f>IF(ISERROR(B31*3.6/1000000/'E Balans VL '!Z11*100),0,B31*3.6/1000000/'E Balans VL '!Z11*100)</f>
        <v>0.25935957038675489</v>
      </c>
      <c r="D31" s="240" t="s">
        <v>707</v>
      </c>
    </row>
    <row r="32" spans="1:18">
      <c r="A32" s="234" t="s">
        <v>260</v>
      </c>
      <c r="B32" s="34">
        <f>IF(ISERROR(TER_rest_ele_kWh/1000),0,TER_rest_ele_kWh/1000)</f>
        <v>2606.0717613932002</v>
      </c>
      <c r="C32" s="40">
        <f>IF(ISERROR(B32*3.6/1000000/'E Balans VL '!Z8*100),0,B32*3.6/1000000/'E Balans VL '!Z8*100)</f>
        <v>2.1468642128017874E-2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62395.056002466983</v>
      </c>
      <c r="C5" s="18">
        <f>IF(ISERROR('Eigen informatie GS &amp; warmtenet'!B59),0,'Eigen informatie GS &amp; warmtenet'!B59)</f>
        <v>0</v>
      </c>
      <c r="D5" s="31">
        <f>SUM(D6:D15)</f>
        <v>93146.162504965556</v>
      </c>
      <c r="E5" s="18">
        <f>SUM(E6:E15)</f>
        <v>288.93300719358888</v>
      </c>
      <c r="F5" s="18">
        <f>SUM(F6:F15)</f>
        <v>8393.4708256520644</v>
      </c>
      <c r="G5" s="19"/>
      <c r="H5" s="18"/>
      <c r="I5" s="18"/>
      <c r="J5" s="18">
        <f>SUM(J6:J15)</f>
        <v>107.40301414422773</v>
      </c>
      <c r="K5" s="18"/>
      <c r="L5" s="18"/>
      <c r="M5" s="18"/>
      <c r="N5" s="18">
        <f>SUM(N6:N15)</f>
        <v>1356.3580836624174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343.99726540168996</v>
      </c>
      <c r="C8" s="34"/>
      <c r="D8" s="38">
        <f>IF( ISERROR(IND_metaal_Gas_kWH/1000),0,IND_metaal_Gas_kWH/1000)*0.902</f>
        <v>78.895439883237259</v>
      </c>
      <c r="E8" s="34">
        <f>C30*'E Balans VL '!I18/100/3.6*1000000</f>
        <v>3.1327211034560736</v>
      </c>
      <c r="F8" s="34">
        <f>C30*'E Balans VL '!L18/100/3.6*1000000+C30*'E Balans VL '!N18/100/3.6*1000000</f>
        <v>45.37062694638076</v>
      </c>
      <c r="G8" s="35"/>
      <c r="H8" s="34"/>
      <c r="I8" s="34"/>
      <c r="J8" s="41">
        <f>C30*'E Balans VL '!D18/100/3.6*1000000+C30*'E Balans VL '!E18/100/3.6*1000000</f>
        <v>5.6410556865435861</v>
      </c>
      <c r="K8" s="34"/>
      <c r="L8" s="34"/>
      <c r="M8" s="34"/>
      <c r="N8" s="34">
        <f>C30*'E Balans VL '!Y18/100/3.6*1000000</f>
        <v>1.1821819486224681</v>
      </c>
      <c r="O8" s="34"/>
      <c r="P8" s="34"/>
      <c r="R8" s="33"/>
    </row>
    <row r="9" spans="1:18">
      <c r="A9" s="6" t="s">
        <v>33</v>
      </c>
      <c r="B9" s="38">
        <f t="shared" si="0"/>
        <v>3877.2836683498499</v>
      </c>
      <c r="C9" s="34"/>
      <c r="D9" s="38">
        <f>IF( ISERROR(IND_andere_gas_kWh/1000),0,IND_andere_gas_kWh/1000)*0.902</f>
        <v>1545.7026909311217</v>
      </c>
      <c r="E9" s="34">
        <f>C31*'E Balans VL '!I19/100/3.6*1000000</f>
        <v>22.411279015181464</v>
      </c>
      <c r="F9" s="34">
        <f>C31*'E Balans VL '!L19/100/3.6*1000000+C31*'E Balans VL '!N19/100/3.6*1000000</f>
        <v>3084.5657256796794</v>
      </c>
      <c r="G9" s="35"/>
      <c r="H9" s="34"/>
      <c r="I9" s="34"/>
      <c r="J9" s="41">
        <f>C31*'E Balans VL '!D19/100/3.6*1000000+C31*'E Balans VL '!E19/100/3.6*1000000</f>
        <v>0.3667479673787471</v>
      </c>
      <c r="K9" s="34"/>
      <c r="L9" s="34"/>
      <c r="M9" s="34"/>
      <c r="N9" s="34">
        <f>C31*'E Balans VL '!Y19/100/3.6*1000000</f>
        <v>293.76291400255155</v>
      </c>
      <c r="O9" s="34"/>
      <c r="P9" s="34"/>
      <c r="R9" s="33"/>
    </row>
    <row r="10" spans="1:18">
      <c r="A10" s="6" t="s">
        <v>41</v>
      </c>
      <c r="B10" s="38">
        <f t="shared" si="0"/>
        <v>314.31662205961902</v>
      </c>
      <c r="C10" s="34"/>
      <c r="D10" s="38">
        <f>IF( ISERROR(IND_voed_gas_kWh/1000),0,IND_voed_gas_kWh/1000)*0.902</f>
        <v>645.12533414038728</v>
      </c>
      <c r="E10" s="34">
        <f>C32*'E Balans VL '!I20/100/3.6*1000000</f>
        <v>3.0905546946900913</v>
      </c>
      <c r="F10" s="34">
        <f>C32*'E Balans VL '!L20/100/3.6*1000000+C32*'E Balans VL '!N20/100/3.6*1000000</f>
        <v>34.908963542814796</v>
      </c>
      <c r="G10" s="35"/>
      <c r="H10" s="34"/>
      <c r="I10" s="34"/>
      <c r="J10" s="41">
        <f>C32*'E Balans VL '!D20/100/3.6*1000000+C32*'E Balans VL '!E20/100/3.6*1000000</f>
        <v>1.2388644986973179E-3</v>
      </c>
      <c r="K10" s="34"/>
      <c r="L10" s="34"/>
      <c r="M10" s="34"/>
      <c r="N10" s="34">
        <f>C32*'E Balans VL '!Y20/100/3.6*1000000</f>
        <v>4.6542898220746043</v>
      </c>
      <c r="O10" s="34"/>
      <c r="P10" s="34"/>
      <c r="R10" s="33"/>
    </row>
    <row r="11" spans="1:18">
      <c r="A11" s="6" t="s">
        <v>40</v>
      </c>
      <c r="B11" s="38">
        <f t="shared" si="0"/>
        <v>37326.873376347401</v>
      </c>
      <c r="C11" s="34"/>
      <c r="D11" s="38">
        <f>IF( ISERROR(IND_textiel_gas_kWh/1000),0,IND_textiel_gas_kWh/1000)*0.902</f>
        <v>35734.692458617101</v>
      </c>
      <c r="E11" s="34">
        <f>C33*'E Balans VL '!I21/100/3.6*1000000</f>
        <v>72.684090019287481</v>
      </c>
      <c r="F11" s="34">
        <f>C33*'E Balans VL '!L21/100/3.6*1000000+C33*'E Balans VL '!N21/100/3.6*1000000</f>
        <v>1231.162772220639</v>
      </c>
      <c r="G11" s="35"/>
      <c r="H11" s="34"/>
      <c r="I11" s="34"/>
      <c r="J11" s="41">
        <f>C33*'E Balans VL '!D21/100/3.6*1000000+C33*'E Balans VL '!E21/100/3.6*1000000</f>
        <v>0</v>
      </c>
      <c r="K11" s="34"/>
      <c r="L11" s="34"/>
      <c r="M11" s="34"/>
      <c r="N11" s="34">
        <f>C33*'E Balans VL '!Y21/100/3.6*1000000</f>
        <v>387.17785320752336</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137.426732450777</v>
      </c>
      <c r="C13" s="34"/>
      <c r="D13" s="38">
        <f>IF( ISERROR(IND_papier_gas_kWh/1000),0,IND_papier_gas_kWh/1000)*0.902</f>
        <v>363.17838822772052</v>
      </c>
      <c r="E13" s="34">
        <f>C35*'E Balans VL '!I23/100/3.6*1000000</f>
        <v>4.6809537631531279</v>
      </c>
      <c r="F13" s="34">
        <f>C35*'E Balans VL '!L23/100/3.6*1000000+C35*'E Balans VL '!N23/100/3.6*1000000</f>
        <v>22.69967086488494</v>
      </c>
      <c r="G13" s="35"/>
      <c r="H13" s="34"/>
      <c r="I13" s="34"/>
      <c r="J13" s="41">
        <f>C35*'E Balans VL '!D23/100/3.6*1000000+C35*'E Balans VL '!E23/100/3.6*1000000</f>
        <v>0</v>
      </c>
      <c r="K13" s="34"/>
      <c r="L13" s="34"/>
      <c r="M13" s="34"/>
      <c r="N13" s="34">
        <f>C35*'E Balans VL '!Y23/100/3.6*1000000</f>
        <v>50.569352042621709</v>
      </c>
      <c r="O13" s="34"/>
      <c r="P13" s="34"/>
      <c r="R13" s="33"/>
    </row>
    <row r="14" spans="1:18">
      <c r="A14" s="6" t="s">
        <v>34</v>
      </c>
      <c r="B14" s="38">
        <f t="shared" si="0"/>
        <v>232.38225184485</v>
      </c>
      <c r="C14" s="34"/>
      <c r="D14" s="38">
        <f>IF( ISERROR(IND_chemie_gas_kWh/1000),0,IND_chemie_gas_kWh/1000)*0.902</f>
        <v>0</v>
      </c>
      <c r="E14" s="34">
        <f>C36*'E Balans VL '!I24/100/3.6*1000000</f>
        <v>1.7569340803283169</v>
      </c>
      <c r="F14" s="34">
        <f>C36*'E Balans VL '!L24/100/3.6*1000000+C36*'E Balans VL '!N24/100/3.6*1000000</f>
        <v>4.2997141527752634</v>
      </c>
      <c r="G14" s="35"/>
      <c r="H14" s="34"/>
      <c r="I14" s="34"/>
      <c r="J14" s="41">
        <f>C36*'E Balans VL '!D24/100/3.6*1000000+C36*'E Balans VL '!E24/100/3.6*1000000</f>
        <v>0</v>
      </c>
      <c r="K14" s="34"/>
      <c r="L14" s="34"/>
      <c r="M14" s="34"/>
      <c r="N14" s="34">
        <f>C36*'E Balans VL '!Y24/100/3.6*1000000</f>
        <v>6.7384860794083234E-2</v>
      </c>
      <c r="O14" s="34"/>
      <c r="P14" s="34"/>
      <c r="R14" s="33"/>
    </row>
    <row r="15" spans="1:18">
      <c r="A15" s="6" t="s">
        <v>270</v>
      </c>
      <c r="B15" s="38">
        <f t="shared" si="0"/>
        <v>20162.7760860128</v>
      </c>
      <c r="C15" s="34"/>
      <c r="D15" s="38">
        <f>IF( ISERROR(IND_rest_gas_kWh/1000),0,IND_rest_gas_kWh/1000)*0.902</f>
        <v>54778.568193165993</v>
      </c>
      <c r="E15" s="34">
        <f>C37*'E Balans VL '!I15/100/3.6*1000000</f>
        <v>181.1764745174923</v>
      </c>
      <c r="F15" s="34">
        <f>C37*'E Balans VL '!L15/100/3.6*1000000+C37*'E Balans VL '!N15/100/3.6*1000000</f>
        <v>3970.4633522448903</v>
      </c>
      <c r="G15" s="35"/>
      <c r="H15" s="34"/>
      <c r="I15" s="34"/>
      <c r="J15" s="41">
        <f>C37*'E Balans VL '!D15/100/3.6*1000000+C37*'E Balans VL '!E15/100/3.6*1000000</f>
        <v>101.3939716258067</v>
      </c>
      <c r="K15" s="34"/>
      <c r="L15" s="34"/>
      <c r="M15" s="34"/>
      <c r="N15" s="34">
        <f>C37*'E Balans VL '!Y15/100/3.6*1000000</f>
        <v>618.94410777822952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62395.056002466983</v>
      </c>
      <c r="C18" s="22">
        <f>C5+C16</f>
        <v>0</v>
      </c>
      <c r="D18" s="22">
        <f>MAX((D5+D16),0)</f>
        <v>93146.162504965556</v>
      </c>
      <c r="E18" s="22">
        <f>MAX((E5+E16),0)</f>
        <v>288.93300719358888</v>
      </c>
      <c r="F18" s="22">
        <f>MAX((F5+F16),0)</f>
        <v>8393.4708256520644</v>
      </c>
      <c r="G18" s="22"/>
      <c r="H18" s="22"/>
      <c r="I18" s="22"/>
      <c r="J18" s="22">
        <f>MAX((J5+J16),0)</f>
        <v>107.40301414422773</v>
      </c>
      <c r="K18" s="22"/>
      <c r="L18" s="22">
        <f>MAX((L5+L16),0)</f>
        <v>0</v>
      </c>
      <c r="M18" s="22"/>
      <c r="N18" s="22">
        <f>MAX((N5+N16),0)</f>
        <v>1356.3580836624174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0.21230012283607808</v>
      </c>
      <c r="C20" s="26">
        <f ca="1">'EF ele_warmte'!B22</f>
        <v>0.2244444444444445</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13246.478053687712</v>
      </c>
      <c r="C22" s="24">
        <f ca="1">C18*C20</f>
        <v>0</v>
      </c>
      <c r="D22" s="24">
        <f>D18*D20</f>
        <v>18815.524826003042</v>
      </c>
      <c r="E22" s="24">
        <f>E18*E20</f>
        <v>65.587792632944684</v>
      </c>
      <c r="F22" s="24">
        <f>F18*F20</f>
        <v>2241.0567104491015</v>
      </c>
      <c r="G22" s="24"/>
      <c r="H22" s="24"/>
      <c r="I22" s="24"/>
      <c r="J22" s="24">
        <f>J18*J20</f>
        <v>38.020667007056616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343.99726540168996</v>
      </c>
      <c r="C30" s="40">
        <f>IF(ISERROR(B30*3.6/1000000/'E Balans VL '!Z18*100),0,B30*3.6/1000000/'E Balans VL '!Z18*100)</f>
        <v>1.9141147529626194E-2</v>
      </c>
      <c r="D30" s="240" t="s">
        <v>707</v>
      </c>
    </row>
    <row r="31" spans="1:18">
      <c r="A31" s="6" t="s">
        <v>33</v>
      </c>
      <c r="B31" s="38">
        <f>IF( ISERROR(IND_ander_ele_kWh/1000),0,IND_ander_ele_kWh/1000)</f>
        <v>3877.2836683498499</v>
      </c>
      <c r="C31" s="40">
        <f>IF(ISERROR(B31*3.6/1000000/'E Balans VL '!Z19*100),0,B31*3.6/1000000/'E Balans VL '!Z19*100)</f>
        <v>0.18024473482095421</v>
      </c>
      <c r="D31" s="240" t="s">
        <v>707</v>
      </c>
    </row>
    <row r="32" spans="1:18">
      <c r="A32" s="174" t="s">
        <v>41</v>
      </c>
      <c r="B32" s="38">
        <f>IF( ISERROR(IND_voed_ele_kWh/1000),0,IND_voed_ele_kWh/1000)</f>
        <v>314.31662205961902</v>
      </c>
      <c r="C32" s="40">
        <f>IF(ISERROR(B32*3.6/1000000/'E Balans VL '!Z20*100),0,B32*3.6/1000000/'E Balans VL '!Z20*100)</f>
        <v>1.1110457800505678E-2</v>
      </c>
      <c r="D32" s="240" t="s">
        <v>707</v>
      </c>
    </row>
    <row r="33" spans="1:5">
      <c r="A33" s="174" t="s">
        <v>40</v>
      </c>
      <c r="B33" s="38">
        <f>IF( ISERROR(IND_textiel_ele_kWh/1000),0,IND_textiel_ele_kWh/1000)</f>
        <v>37326.873376347401</v>
      </c>
      <c r="C33" s="40">
        <f>IF(ISERROR(B33*3.6/1000000/'E Balans VL '!Z21*100),0,B33*3.6/1000000/'E Balans VL '!Z21*100)</f>
        <v>5.0415606450865695</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137.426732450777</v>
      </c>
      <c r="C35" s="40">
        <f>IF(ISERROR(B35*3.6/1000000/'E Balans VL '!Z22*100),0,B35*3.6/1000000/'E Balans VL '!Z22*100)</f>
        <v>2.7618897919674694E-2</v>
      </c>
      <c r="D35" s="240" t="s">
        <v>707</v>
      </c>
    </row>
    <row r="36" spans="1:5">
      <c r="A36" s="174" t="s">
        <v>34</v>
      </c>
      <c r="B36" s="38">
        <f>IF( ISERROR(IND_chemie_ele_kWh/1000),0,IND_chemie_ele_kWh/1000)</f>
        <v>232.38225184485</v>
      </c>
      <c r="C36" s="40">
        <f>IF(ISERROR(B36*3.6/1000000/'E Balans VL '!Z24*100),0,B36*3.6/1000000/'E Balans VL '!Z24*100)</f>
        <v>5.722464967709299E-3</v>
      </c>
      <c r="D36" s="240" t="s">
        <v>707</v>
      </c>
    </row>
    <row r="37" spans="1:5">
      <c r="A37" s="174" t="s">
        <v>270</v>
      </c>
      <c r="B37" s="38">
        <f>IF( ISERROR(IND_rest_ele_kWh/1000),0,IND_rest_ele_kWh/1000)</f>
        <v>20162.7760860128</v>
      </c>
      <c r="C37" s="40">
        <f>IF(ISERROR(B37*3.6/1000000/'E Balans VL '!Z15*100),0,B37*3.6/1000000/'E Balans VL '!Z15*100)</f>
        <v>0.15225874437360204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428.46557164776192</v>
      </c>
      <c r="C5" s="18">
        <f>'Eigen informatie GS &amp; warmtenet'!B60</f>
        <v>0</v>
      </c>
      <c r="D5" s="31">
        <f>IF(ISERROR(SUM(LB_lb_gas_kWh,LB_rest_gas_kWh)/1000),0,SUM(LB_lb_gas_kWh,LB_rest_gas_kWh)/1000)*0.902</f>
        <v>131.62317621871156</v>
      </c>
      <c r="E5" s="18">
        <f>B17*'E Balans VL '!I25/3.6*1000000/100</f>
        <v>4.0364327662720783</v>
      </c>
      <c r="F5" s="18">
        <f>B17*('E Balans VL '!L25/3.6*1000000+'E Balans VL '!N25/3.6*1000000)/100</f>
        <v>1398.2253555218276</v>
      </c>
      <c r="G5" s="19"/>
      <c r="H5" s="18"/>
      <c r="I5" s="18"/>
      <c r="J5" s="18">
        <f>('E Balans VL '!D25+'E Balans VL '!E25)/3.6*1000000*landbouw!B17/100</f>
        <v>53.003275268968316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428.46557164776192</v>
      </c>
      <c r="C8" s="22">
        <f>C5+C6</f>
        <v>0</v>
      </c>
      <c r="D8" s="22">
        <f>MAX((D5+D6),0)</f>
        <v>131.62317621871156</v>
      </c>
      <c r="E8" s="22">
        <f>MAX((E5+E6),0)</f>
        <v>4.0364327662720783</v>
      </c>
      <c r="F8" s="22">
        <f>MAX((F5+F6),0)</f>
        <v>1398.2253555218276</v>
      </c>
      <c r="G8" s="22"/>
      <c r="H8" s="22"/>
      <c r="I8" s="22"/>
      <c r="J8" s="22">
        <f>MAX((J5+J6),0)</f>
        <v>53.003275268968316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0.21230012283607808</v>
      </c>
      <c r="C10" s="32">
        <f ca="1">'EF ele_warmte'!B22</f>
        <v>0.2244444444444445</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90.963293491850266</v>
      </c>
      <c r="C12" s="24">
        <f ca="1">C8*C10</f>
        <v>0</v>
      </c>
      <c r="D12" s="24">
        <f>D8*D10</f>
        <v>26.587881596179738</v>
      </c>
      <c r="E12" s="24">
        <f>E8*E10</f>
        <v>0.91627023794376183</v>
      </c>
      <c r="F12" s="24">
        <f>F8*F10</f>
        <v>373.32616992432798</v>
      </c>
      <c r="G12" s="24"/>
      <c r="H12" s="24"/>
      <c r="I12" s="24"/>
      <c r="J12" s="24">
        <f>J8*J10</f>
        <v>18.763159445214782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5.8007391740139039E-2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155.41228042757328</v>
      </c>
      <c r="C26" s="250">
        <f>B26*'GWP N2O_CH4'!B5</f>
        <v>3263.6578889790389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25.996228747813781</v>
      </c>
      <c r="C27" s="250">
        <f>B27*'GWP N2O_CH4'!B5</f>
        <v>545.92080370408939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2.1029915807606785</v>
      </c>
      <c r="C28" s="250">
        <f>B28*'GWP N2O_CH4'!B4</f>
        <v>651.92739003581028</v>
      </c>
      <c r="D28" s="51"/>
    </row>
    <row r="29" spans="1:4">
      <c r="A29" s="42" t="s">
        <v>277</v>
      </c>
      <c r="B29" s="250">
        <f>B34*'ha_N2O bodem landbouw'!B4</f>
        <v>8.080009511315783</v>
      </c>
      <c r="C29" s="250">
        <f>B29*'GWP N2O_CH4'!B4</f>
        <v>2504.8029485078928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2.1813482071997891E-3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5.5098356511053497E-6</v>
      </c>
      <c r="C5" s="447" t="s">
        <v>211</v>
      </c>
      <c r="D5" s="432">
        <f>SUM(D6:D11)</f>
        <v>1.5974810869087926E-5</v>
      </c>
      <c r="E5" s="432">
        <f>SUM(E6:E11)</f>
        <v>9.1903334366910758E-4</v>
      </c>
      <c r="F5" s="445" t="s">
        <v>211</v>
      </c>
      <c r="G5" s="432">
        <f>SUM(G6:G11)</f>
        <v>0.32361499111448966</v>
      </c>
      <c r="H5" s="432">
        <f>SUM(H6:H11)</f>
        <v>3.5408566407640535E-2</v>
      </c>
      <c r="I5" s="447" t="s">
        <v>211</v>
      </c>
      <c r="J5" s="447" t="s">
        <v>211</v>
      </c>
      <c r="K5" s="447" t="s">
        <v>211</v>
      </c>
      <c r="L5" s="447" t="s">
        <v>211</v>
      </c>
      <c r="M5" s="432">
        <f>SUM(M6:M11)</f>
        <v>1.6030495992507249E-2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4.2106034870693055E-6</v>
      </c>
      <c r="C6" s="433"/>
      <c r="D6" s="433">
        <f>vkm_2011_GW_PW*SUMIFS(TableVerdeelsleutelVkm[CNG],TableVerdeelsleutelVkm[Voertuigtype],"Lichte voertuigen")*SUMIFS(TableECFTransport[EnergieConsumptieFactor (PJ per km)],TableECFTransport[Index],CONCATENATE($A6,"_CNG_CNG"))</f>
        <v>1.028236423084805E-5</v>
      </c>
      <c r="E6" s="435">
        <f>vkm_2011_GW_PW*SUMIFS(TableVerdeelsleutelVkm[LPG],TableVerdeelsleutelVkm[Voertuigtype],"Lichte voertuigen")*SUMIFS(TableECFTransport[EnergieConsumptieFactor (PJ per km)],TableECFTransport[Index],CONCATENATE($A6,"_LPG_LPG"))</f>
        <v>6.0948541377534862E-4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8.8108286228500143E-2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2.3090650516316313E-2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4.9796931728352091E-3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0.16880121991410879</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6.8104711228939306E-5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7.5200421204417956E-3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1.2992321640360438E-6</v>
      </c>
      <c r="C8" s="433"/>
      <c r="D8" s="435">
        <f>vkm_2011_NGW_PW*SUMIFS(TableVerdeelsleutelVkm[CNG],TableVerdeelsleutelVkm[Voertuigtype],"Lichte voertuigen")*SUMIFS(TableECFTransport[EnergieConsumptieFactor (PJ per km)],TableECFTransport[Index],CONCATENATE($A8,"_CNG_CNG"))</f>
        <v>5.6924466382398771E-6</v>
      </c>
      <c r="E8" s="435">
        <f>vkm_2011_NGW_PW*SUMIFS(TableVerdeelsleutelVkm[LPG],TableVerdeelsleutelVkm[Voertuigtype],"Lichte voertuigen")*SUMIFS(TableECFTransport[EnergieConsumptieFactor (PJ per km)],TableECFTransport[Index],CONCATENATE($A8,"_LPG_LPG"))</f>
        <v>3.0954792989375897E-4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4.2273513176261705E-2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1.2241228430503856E-2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2.4423822126323964E-3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2.4431971795619026E-2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8.5827495914263786E-6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1.088378486597847E-3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1.5305099030848195</v>
      </c>
      <c r="C14" s="22"/>
      <c r="D14" s="22">
        <f t="shared" ref="D14:M14" si="0">((D5)*10^9/3600)+D12</f>
        <v>4.437447463635535</v>
      </c>
      <c r="E14" s="22">
        <f t="shared" si="0"/>
        <v>255.28703990808543</v>
      </c>
      <c r="F14" s="22"/>
      <c r="G14" s="22">
        <f t="shared" si="0"/>
        <v>89893.053087358247</v>
      </c>
      <c r="H14" s="22">
        <f t="shared" si="0"/>
        <v>9835.7128910112588</v>
      </c>
      <c r="I14" s="22"/>
      <c r="J14" s="22"/>
      <c r="K14" s="22"/>
      <c r="L14" s="22"/>
      <c r="M14" s="22">
        <f t="shared" si="0"/>
        <v>4452.9155534742358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0.21230012283607808</v>
      </c>
      <c r="C16" s="57">
        <f ca="1">'EF ele_warmte'!B22</f>
        <v>0.2244444444444445</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0.32492744042674115</v>
      </c>
      <c r="C18" s="24"/>
      <c r="D18" s="24">
        <f t="shared" ref="D18:M18" si="1">D14*D16</f>
        <v>0.89636438765437809</v>
      </c>
      <c r="E18" s="24">
        <f t="shared" si="1"/>
        <v>57.950158059135397</v>
      </c>
      <c r="F18" s="24"/>
      <c r="G18" s="24">
        <f t="shared" si="1"/>
        <v>24001.445174324654</v>
      </c>
      <c r="H18" s="24">
        <f t="shared" si="1"/>
        <v>2449.0925098618036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2.8583456472641897E-3</v>
      </c>
      <c r="H50" s="323">
        <f t="shared" si="2"/>
        <v>0</v>
      </c>
      <c r="I50" s="323">
        <f t="shared" si="2"/>
        <v>0</v>
      </c>
      <c r="J50" s="323">
        <f t="shared" si="2"/>
        <v>0</v>
      </c>
      <c r="K50" s="323">
        <f t="shared" si="2"/>
        <v>0</v>
      </c>
      <c r="L50" s="323">
        <f t="shared" si="2"/>
        <v>0</v>
      </c>
      <c r="M50" s="323">
        <f t="shared" si="2"/>
        <v>1.2551467250745263E-4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2.8583456472641897E-3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1.2551467250745263E-4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793.98490201783045</v>
      </c>
      <c r="H54" s="22">
        <f t="shared" si="3"/>
        <v>0</v>
      </c>
      <c r="I54" s="22">
        <f t="shared" si="3"/>
        <v>0</v>
      </c>
      <c r="J54" s="22">
        <f t="shared" si="3"/>
        <v>0</v>
      </c>
      <c r="K54" s="22">
        <f t="shared" si="3"/>
        <v>0</v>
      </c>
      <c r="L54" s="22">
        <f t="shared" si="3"/>
        <v>0</v>
      </c>
      <c r="M54" s="22">
        <f t="shared" si="3"/>
        <v>34.865186807625733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0.21230012283607808</v>
      </c>
      <c r="C56" s="57">
        <f ca="1">'EF ele_warmte'!B22</f>
        <v>0.2244444444444445</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211.99396883876074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34323.873968011394</v>
      </c>
      <c r="D10" s="688">
        <f ca="1">tertiair!C16</f>
        <v>3.214285714285714</v>
      </c>
      <c r="E10" s="688">
        <f ca="1">tertiair!D16</f>
        <v>48319.33719775761</v>
      </c>
      <c r="F10" s="688">
        <f>tertiair!E16</f>
        <v>233.50659835884747</v>
      </c>
      <c r="G10" s="688">
        <f ca="1">tertiair!F16</f>
        <v>7457.3924582385835</v>
      </c>
      <c r="H10" s="688">
        <f>tertiair!G16</f>
        <v>0</v>
      </c>
      <c r="I10" s="688">
        <f>tertiair!H16</f>
        <v>0</v>
      </c>
      <c r="J10" s="688">
        <f>tertiair!I16</f>
        <v>0</v>
      </c>
      <c r="K10" s="688">
        <f>tertiair!J16</f>
        <v>0</v>
      </c>
      <c r="L10" s="688">
        <f>tertiair!K16</f>
        <v>0</v>
      </c>
      <c r="M10" s="688">
        <f ca="1">tertiair!L16</f>
        <v>0</v>
      </c>
      <c r="N10" s="688">
        <f>tertiair!M16</f>
        <v>0</v>
      </c>
      <c r="O10" s="688">
        <f ca="1">tertiair!N16</f>
        <v>1523.5913488636902</v>
      </c>
      <c r="P10" s="688">
        <f>tertiair!O16</f>
        <v>0</v>
      </c>
      <c r="Q10" s="689">
        <f>tertiair!P16</f>
        <v>0</v>
      </c>
      <c r="R10" s="691">
        <f ca="1">SUM(C10:Q10)</f>
        <v>91860.915856944397</v>
      </c>
      <c r="S10" s="68"/>
    </row>
    <row r="11" spans="1:19" s="457" customFormat="1">
      <c r="A11" s="803" t="s">
        <v>225</v>
      </c>
      <c r="B11" s="808"/>
      <c r="C11" s="688">
        <f>huishoudens!B8</f>
        <v>38666.137343235918</v>
      </c>
      <c r="D11" s="688">
        <f>huishoudens!C8</f>
        <v>0</v>
      </c>
      <c r="E11" s="688">
        <f>huishoudens!D8</f>
        <v>107435.25526480688</v>
      </c>
      <c r="F11" s="688">
        <f>huishoudens!E8</f>
        <v>5959.4301936111278</v>
      </c>
      <c r="G11" s="688">
        <f>huishoudens!F8</f>
        <v>15160.231134441279</v>
      </c>
      <c r="H11" s="688">
        <f>huishoudens!G8</f>
        <v>0</v>
      </c>
      <c r="I11" s="688">
        <f>huishoudens!H8</f>
        <v>0</v>
      </c>
      <c r="J11" s="688">
        <f>huishoudens!I8</f>
        <v>0</v>
      </c>
      <c r="K11" s="688">
        <f>huishoudens!J8</f>
        <v>5112.2370490846333</v>
      </c>
      <c r="L11" s="688">
        <f>huishoudens!K8</f>
        <v>0</v>
      </c>
      <c r="M11" s="688">
        <f>huishoudens!L8</f>
        <v>0</v>
      </c>
      <c r="N11" s="688">
        <f>huishoudens!M8</f>
        <v>0</v>
      </c>
      <c r="O11" s="688">
        <f>huishoudens!N8</f>
        <v>24279.848511653468</v>
      </c>
      <c r="P11" s="688">
        <f>huishoudens!O8</f>
        <v>64.096666666666678</v>
      </c>
      <c r="Q11" s="689">
        <f>huishoudens!P8</f>
        <v>228.8</v>
      </c>
      <c r="R11" s="691">
        <f>SUM(C11:Q11)</f>
        <v>196906.03616349996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62395.056002466983</v>
      </c>
      <c r="D13" s="688">
        <f>industrie!C18</f>
        <v>0</v>
      </c>
      <c r="E13" s="688">
        <f>industrie!D18</f>
        <v>93146.162504965556</v>
      </c>
      <c r="F13" s="688">
        <f>industrie!E18</f>
        <v>288.93300719358888</v>
      </c>
      <c r="G13" s="688">
        <f>industrie!F18</f>
        <v>8393.4708256520644</v>
      </c>
      <c r="H13" s="688">
        <f>industrie!G18</f>
        <v>0</v>
      </c>
      <c r="I13" s="688">
        <f>industrie!H18</f>
        <v>0</v>
      </c>
      <c r="J13" s="688">
        <f>industrie!I18</f>
        <v>0</v>
      </c>
      <c r="K13" s="688">
        <f>industrie!J18</f>
        <v>107.40301414422773</v>
      </c>
      <c r="L13" s="688">
        <f>industrie!K18</f>
        <v>0</v>
      </c>
      <c r="M13" s="688">
        <f>industrie!L18</f>
        <v>0</v>
      </c>
      <c r="N13" s="688">
        <f>industrie!M18</f>
        <v>0</v>
      </c>
      <c r="O13" s="688">
        <f>industrie!N18</f>
        <v>1356.3580836624174</v>
      </c>
      <c r="P13" s="688">
        <f>industrie!O18</f>
        <v>0</v>
      </c>
      <c r="Q13" s="689">
        <f>industrie!P18</f>
        <v>0</v>
      </c>
      <c r="R13" s="691">
        <f>SUM(C13:Q13)</f>
        <v>165687.38343808486</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135385.0673137143</v>
      </c>
      <c r="D16" s="721">
        <f t="shared" ref="D16:R16" ca="1" si="0">SUM(D9:D15)</f>
        <v>3.214285714285714</v>
      </c>
      <c r="E16" s="721">
        <f t="shared" ca="1" si="0"/>
        <v>248900.75496753005</v>
      </c>
      <c r="F16" s="721">
        <f t="shared" si="0"/>
        <v>6481.8697991635645</v>
      </c>
      <c r="G16" s="721">
        <f t="shared" ca="1" si="0"/>
        <v>31011.094418331926</v>
      </c>
      <c r="H16" s="721">
        <f t="shared" si="0"/>
        <v>0</v>
      </c>
      <c r="I16" s="721">
        <f t="shared" si="0"/>
        <v>0</v>
      </c>
      <c r="J16" s="721">
        <f t="shared" si="0"/>
        <v>0</v>
      </c>
      <c r="K16" s="721">
        <f t="shared" si="0"/>
        <v>5219.6400632288614</v>
      </c>
      <c r="L16" s="721">
        <f t="shared" si="0"/>
        <v>0</v>
      </c>
      <c r="M16" s="721">
        <f t="shared" ca="1" si="0"/>
        <v>0</v>
      </c>
      <c r="N16" s="721">
        <f t="shared" si="0"/>
        <v>0</v>
      </c>
      <c r="O16" s="721">
        <f t="shared" ca="1" si="0"/>
        <v>27159.797944179576</v>
      </c>
      <c r="P16" s="721">
        <f t="shared" si="0"/>
        <v>64.096666666666678</v>
      </c>
      <c r="Q16" s="721">
        <f t="shared" si="0"/>
        <v>228.8</v>
      </c>
      <c r="R16" s="721">
        <f t="shared" ca="1" si="0"/>
        <v>454454.33545852918</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793.98490201783045</v>
      </c>
      <c r="I19" s="688">
        <f>transport!H54</f>
        <v>0</v>
      </c>
      <c r="J19" s="688">
        <f>transport!I54</f>
        <v>0</v>
      </c>
      <c r="K19" s="688">
        <f>transport!J54</f>
        <v>0</v>
      </c>
      <c r="L19" s="688">
        <f>transport!K54</f>
        <v>0</v>
      </c>
      <c r="M19" s="688">
        <f>transport!L54</f>
        <v>0</v>
      </c>
      <c r="N19" s="688">
        <f>transport!M54</f>
        <v>34.865186807625733</v>
      </c>
      <c r="O19" s="688">
        <f>transport!N54</f>
        <v>0</v>
      </c>
      <c r="P19" s="688">
        <f>transport!O54</f>
        <v>0</v>
      </c>
      <c r="Q19" s="689">
        <f>transport!P54</f>
        <v>0</v>
      </c>
      <c r="R19" s="691">
        <f>SUM(C19:Q19)</f>
        <v>828.85008882545617</v>
      </c>
      <c r="S19" s="68"/>
    </row>
    <row r="20" spans="1:19" s="457" customFormat="1">
      <c r="A20" s="803" t="s">
        <v>307</v>
      </c>
      <c r="B20" s="808"/>
      <c r="C20" s="688">
        <f>transport!B14</f>
        <v>1.5305099030848195</v>
      </c>
      <c r="D20" s="688">
        <f>transport!C14</f>
        <v>0</v>
      </c>
      <c r="E20" s="688">
        <f>transport!D14</f>
        <v>4.437447463635535</v>
      </c>
      <c r="F20" s="688">
        <f>transport!E14</f>
        <v>255.28703990808543</v>
      </c>
      <c r="G20" s="688">
        <f>transport!F14</f>
        <v>0</v>
      </c>
      <c r="H20" s="688">
        <f>transport!G14</f>
        <v>89893.053087358247</v>
      </c>
      <c r="I20" s="688">
        <f>transport!H14</f>
        <v>9835.7128910112588</v>
      </c>
      <c r="J20" s="688">
        <f>transport!I14</f>
        <v>0</v>
      </c>
      <c r="K20" s="688">
        <f>transport!J14</f>
        <v>0</v>
      </c>
      <c r="L20" s="688">
        <f>transport!K14</f>
        <v>0</v>
      </c>
      <c r="M20" s="688">
        <f>transport!L14</f>
        <v>0</v>
      </c>
      <c r="N20" s="688">
        <f>transport!M14</f>
        <v>4452.9155534742358</v>
      </c>
      <c r="O20" s="688">
        <f>transport!N14</f>
        <v>0</v>
      </c>
      <c r="P20" s="688">
        <f>transport!O14</f>
        <v>0</v>
      </c>
      <c r="Q20" s="689">
        <f>transport!P14</f>
        <v>0</v>
      </c>
      <c r="R20" s="691">
        <f>SUM(C20:Q20)</f>
        <v>104442.93652911855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1.5305099030848195</v>
      </c>
      <c r="D22" s="806">
        <f t="shared" ref="D22:R22" si="1">SUM(D18:D21)</f>
        <v>0</v>
      </c>
      <c r="E22" s="806">
        <f t="shared" si="1"/>
        <v>4.437447463635535</v>
      </c>
      <c r="F22" s="806">
        <f t="shared" si="1"/>
        <v>255.28703990808543</v>
      </c>
      <c r="G22" s="806">
        <f t="shared" si="1"/>
        <v>0</v>
      </c>
      <c r="H22" s="806">
        <f t="shared" si="1"/>
        <v>90687.037989376084</v>
      </c>
      <c r="I22" s="806">
        <f t="shared" si="1"/>
        <v>9835.7128910112588</v>
      </c>
      <c r="J22" s="806">
        <f t="shared" si="1"/>
        <v>0</v>
      </c>
      <c r="K22" s="806">
        <f t="shared" si="1"/>
        <v>0</v>
      </c>
      <c r="L22" s="806">
        <f t="shared" si="1"/>
        <v>0</v>
      </c>
      <c r="M22" s="806">
        <f t="shared" si="1"/>
        <v>0</v>
      </c>
      <c r="N22" s="806">
        <f t="shared" si="1"/>
        <v>4487.7807402818617</v>
      </c>
      <c r="O22" s="806">
        <f t="shared" si="1"/>
        <v>0</v>
      </c>
      <c r="P22" s="806">
        <f t="shared" si="1"/>
        <v>0</v>
      </c>
      <c r="Q22" s="806">
        <f t="shared" si="1"/>
        <v>0</v>
      </c>
      <c r="R22" s="806">
        <f t="shared" si="1"/>
        <v>105271.786617944</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428.46557164776192</v>
      </c>
      <c r="D24" s="688">
        <f>+landbouw!C8</f>
        <v>0</v>
      </c>
      <c r="E24" s="688">
        <f>+landbouw!D8</f>
        <v>131.62317621871156</v>
      </c>
      <c r="F24" s="688">
        <f>+landbouw!E8</f>
        <v>4.0364327662720783</v>
      </c>
      <c r="G24" s="688">
        <f>+landbouw!F8</f>
        <v>1398.2253555218276</v>
      </c>
      <c r="H24" s="688">
        <f>+landbouw!G8</f>
        <v>0</v>
      </c>
      <c r="I24" s="688">
        <f>+landbouw!H8</f>
        <v>0</v>
      </c>
      <c r="J24" s="688">
        <f>+landbouw!I8</f>
        <v>0</v>
      </c>
      <c r="K24" s="688">
        <f>+landbouw!J8</f>
        <v>53.003275268968316</v>
      </c>
      <c r="L24" s="688">
        <f>+landbouw!K8</f>
        <v>0</v>
      </c>
      <c r="M24" s="688">
        <f>+landbouw!L8</f>
        <v>0</v>
      </c>
      <c r="N24" s="688">
        <f>+landbouw!M8</f>
        <v>0</v>
      </c>
      <c r="O24" s="688">
        <f>+landbouw!N8</f>
        <v>0</v>
      </c>
      <c r="P24" s="688">
        <f>+landbouw!O8</f>
        <v>0</v>
      </c>
      <c r="Q24" s="689">
        <f>+landbouw!P8</f>
        <v>0</v>
      </c>
      <c r="R24" s="691">
        <f>SUM(C24:Q24)</f>
        <v>2015.3538114235414</v>
      </c>
      <c r="S24" s="68"/>
    </row>
    <row r="25" spans="1:19" s="457" customFormat="1" ht="15" thickBot="1">
      <c r="A25" s="825" t="s">
        <v>912</v>
      </c>
      <c r="B25" s="1001"/>
      <c r="C25" s="1002">
        <f>IF(Onbekend_ele_kWh="---",0,Onbekend_ele_kWh)/1000+IF(REST_rest_ele_kWh="---",0,REST_rest_ele_kWh)/1000</f>
        <v>1286.82390920276</v>
      </c>
      <c r="D25" s="1002"/>
      <c r="E25" s="1002">
        <f>IF(onbekend_gas_kWh="---",0,onbekend_gas_kWh)/1000+IF(REST_rest_gas_kWh="---",0,REST_rest_gas_kWh)/1000</f>
        <v>7876.4428030421395</v>
      </c>
      <c r="F25" s="1002"/>
      <c r="G25" s="1002"/>
      <c r="H25" s="1002"/>
      <c r="I25" s="1002"/>
      <c r="J25" s="1002"/>
      <c r="K25" s="1002"/>
      <c r="L25" s="1002"/>
      <c r="M25" s="1002"/>
      <c r="N25" s="1002"/>
      <c r="O25" s="1002"/>
      <c r="P25" s="1002"/>
      <c r="Q25" s="1003"/>
      <c r="R25" s="691">
        <f>SUM(C25:Q25)</f>
        <v>9163.2667122449002</v>
      </c>
      <c r="S25" s="68"/>
    </row>
    <row r="26" spans="1:19" s="457" customFormat="1" ht="15.75" thickBot="1">
      <c r="A26" s="694" t="s">
        <v>913</v>
      </c>
      <c r="B26" s="811"/>
      <c r="C26" s="806">
        <f>SUM(C24:C25)</f>
        <v>1715.2894808505218</v>
      </c>
      <c r="D26" s="806">
        <f t="shared" ref="D26:R26" si="2">SUM(D24:D25)</f>
        <v>0</v>
      </c>
      <c r="E26" s="806">
        <f t="shared" si="2"/>
        <v>8008.0659792608512</v>
      </c>
      <c r="F26" s="806">
        <f t="shared" si="2"/>
        <v>4.0364327662720783</v>
      </c>
      <c r="G26" s="806">
        <f t="shared" si="2"/>
        <v>1398.2253555218276</v>
      </c>
      <c r="H26" s="806">
        <f t="shared" si="2"/>
        <v>0</v>
      </c>
      <c r="I26" s="806">
        <f t="shared" si="2"/>
        <v>0</v>
      </c>
      <c r="J26" s="806">
        <f t="shared" si="2"/>
        <v>0</v>
      </c>
      <c r="K26" s="806">
        <f t="shared" si="2"/>
        <v>53.003275268968316</v>
      </c>
      <c r="L26" s="806">
        <f t="shared" si="2"/>
        <v>0</v>
      </c>
      <c r="M26" s="806">
        <f t="shared" si="2"/>
        <v>0</v>
      </c>
      <c r="N26" s="806">
        <f t="shared" si="2"/>
        <v>0</v>
      </c>
      <c r="O26" s="806">
        <f t="shared" si="2"/>
        <v>0</v>
      </c>
      <c r="P26" s="806">
        <f t="shared" si="2"/>
        <v>0</v>
      </c>
      <c r="Q26" s="806">
        <f t="shared" si="2"/>
        <v>0</v>
      </c>
      <c r="R26" s="806">
        <f t="shared" si="2"/>
        <v>11178.620523668442</v>
      </c>
      <c r="S26" s="68"/>
    </row>
    <row r="27" spans="1:19" s="457" customFormat="1" ht="17.25" thickTop="1" thickBot="1">
      <c r="A27" s="695" t="s">
        <v>116</v>
      </c>
      <c r="B27" s="798"/>
      <c r="C27" s="696">
        <f ca="1">C22+C16+C26</f>
        <v>137101.88730446791</v>
      </c>
      <c r="D27" s="696">
        <f t="shared" ref="D27:R27" ca="1" si="3">D22+D16+D26</f>
        <v>3.214285714285714</v>
      </c>
      <c r="E27" s="696">
        <f t="shared" ca="1" si="3"/>
        <v>256913.25839425455</v>
      </c>
      <c r="F27" s="696">
        <f t="shared" si="3"/>
        <v>6741.1932718379221</v>
      </c>
      <c r="G27" s="696">
        <f t="shared" ca="1" si="3"/>
        <v>32409.319773853753</v>
      </c>
      <c r="H27" s="696">
        <f t="shared" si="3"/>
        <v>90687.037989376084</v>
      </c>
      <c r="I27" s="696">
        <f t="shared" si="3"/>
        <v>9835.7128910112588</v>
      </c>
      <c r="J27" s="696">
        <f t="shared" si="3"/>
        <v>0</v>
      </c>
      <c r="K27" s="696">
        <f t="shared" si="3"/>
        <v>5272.64333849783</v>
      </c>
      <c r="L27" s="696">
        <f t="shared" si="3"/>
        <v>0</v>
      </c>
      <c r="M27" s="696">
        <f t="shared" ca="1" si="3"/>
        <v>0</v>
      </c>
      <c r="N27" s="696">
        <f t="shared" si="3"/>
        <v>4487.7807402818617</v>
      </c>
      <c r="O27" s="696">
        <f t="shared" ca="1" si="3"/>
        <v>27159.797944179576</v>
      </c>
      <c r="P27" s="696">
        <f t="shared" si="3"/>
        <v>64.096666666666678</v>
      </c>
      <c r="Q27" s="696">
        <f t="shared" si="3"/>
        <v>228.8</v>
      </c>
      <c r="R27" s="696">
        <f t="shared" ca="1" si="3"/>
        <v>570904.74260014168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7286.9626596188809</v>
      </c>
      <c r="D40" s="688">
        <f ca="1">tertiair!C20</f>
        <v>0.72142857142857153</v>
      </c>
      <c r="E40" s="688">
        <f ca="1">tertiair!D20</f>
        <v>9760.5061139470381</v>
      </c>
      <c r="F40" s="688">
        <f>tertiair!E20</f>
        <v>53.00599782745838</v>
      </c>
      <c r="G40" s="688">
        <f ca="1">tertiair!F20</f>
        <v>1991.123786349702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19092.319986314506</v>
      </c>
    </row>
    <row r="41" spans="1:18">
      <c r="A41" s="816" t="s">
        <v>225</v>
      </c>
      <c r="B41" s="823"/>
      <c r="C41" s="688">
        <f ca="1">huishoudens!B12</f>
        <v>8208.8257075656511</v>
      </c>
      <c r="D41" s="688">
        <f ca="1">huishoudens!C12</f>
        <v>0</v>
      </c>
      <c r="E41" s="688">
        <f>huishoudens!D12</f>
        <v>21701.921563490992</v>
      </c>
      <c r="F41" s="688">
        <f>huishoudens!E12</f>
        <v>1352.790653949726</v>
      </c>
      <c r="G41" s="688">
        <f>huishoudens!F12</f>
        <v>4047.7817128958218</v>
      </c>
      <c r="H41" s="688">
        <f>huishoudens!G12</f>
        <v>0</v>
      </c>
      <c r="I41" s="688">
        <f>huishoudens!H12</f>
        <v>0</v>
      </c>
      <c r="J41" s="688">
        <f>huishoudens!I12</f>
        <v>0</v>
      </c>
      <c r="K41" s="688">
        <f>huishoudens!J12</f>
        <v>1809.7319153759602</v>
      </c>
      <c r="L41" s="688">
        <f>huishoudens!K12</f>
        <v>0</v>
      </c>
      <c r="M41" s="688">
        <f>huishoudens!L12</f>
        <v>0</v>
      </c>
      <c r="N41" s="688">
        <f>huishoudens!M12</f>
        <v>0</v>
      </c>
      <c r="O41" s="688">
        <f>huishoudens!N12</f>
        <v>0</v>
      </c>
      <c r="P41" s="688">
        <f>huishoudens!O12</f>
        <v>0</v>
      </c>
      <c r="Q41" s="763">
        <f>huishoudens!P12</f>
        <v>0</v>
      </c>
      <c r="R41" s="844">
        <f t="shared" ca="1" si="4"/>
        <v>37121.05155327815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13246.478053687712</v>
      </c>
      <c r="D43" s="688">
        <f ca="1">industrie!C22</f>
        <v>0</v>
      </c>
      <c r="E43" s="688">
        <f>industrie!D22</f>
        <v>18815.524826003042</v>
      </c>
      <c r="F43" s="688">
        <f>industrie!E22</f>
        <v>65.587792632944684</v>
      </c>
      <c r="G43" s="688">
        <f>industrie!F22</f>
        <v>2241.0567104491015</v>
      </c>
      <c r="H43" s="688">
        <f>industrie!G22</f>
        <v>0</v>
      </c>
      <c r="I43" s="688">
        <f>industrie!H22</f>
        <v>0</v>
      </c>
      <c r="J43" s="688">
        <f>industrie!I22</f>
        <v>0</v>
      </c>
      <c r="K43" s="688">
        <f>industrie!J22</f>
        <v>38.020667007056616</v>
      </c>
      <c r="L43" s="688">
        <f>industrie!K22</f>
        <v>0</v>
      </c>
      <c r="M43" s="688">
        <f>industrie!L22</f>
        <v>0</v>
      </c>
      <c r="N43" s="688">
        <f>industrie!M22</f>
        <v>0</v>
      </c>
      <c r="O43" s="688">
        <f>industrie!N22</f>
        <v>0</v>
      </c>
      <c r="P43" s="688">
        <f>industrie!O22</f>
        <v>0</v>
      </c>
      <c r="Q43" s="763">
        <f>industrie!P22</f>
        <v>0</v>
      </c>
      <c r="R43" s="843">
        <f t="shared" ca="1" si="4"/>
        <v>34406.668049779852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28742.266420872242</v>
      </c>
      <c r="D46" s="721">
        <f t="shared" ref="D46:Q46" ca="1" si="5">SUM(D39:D45)</f>
        <v>0.72142857142857153</v>
      </c>
      <c r="E46" s="721">
        <f t="shared" ca="1" si="5"/>
        <v>50277.952503441076</v>
      </c>
      <c r="F46" s="721">
        <f t="shared" si="5"/>
        <v>1471.3844444101292</v>
      </c>
      <c r="G46" s="721">
        <f t="shared" ca="1" si="5"/>
        <v>8279.9622096946259</v>
      </c>
      <c r="H46" s="721">
        <f t="shared" si="5"/>
        <v>0</v>
      </c>
      <c r="I46" s="721">
        <f t="shared" si="5"/>
        <v>0</v>
      </c>
      <c r="J46" s="721">
        <f t="shared" si="5"/>
        <v>0</v>
      </c>
      <c r="K46" s="721">
        <f t="shared" si="5"/>
        <v>1847.7525823830167</v>
      </c>
      <c r="L46" s="721">
        <f t="shared" si="5"/>
        <v>0</v>
      </c>
      <c r="M46" s="721">
        <f t="shared" ca="1" si="5"/>
        <v>0</v>
      </c>
      <c r="N46" s="721">
        <f t="shared" si="5"/>
        <v>0</v>
      </c>
      <c r="O46" s="721">
        <f t="shared" ca="1" si="5"/>
        <v>0</v>
      </c>
      <c r="P46" s="721">
        <f t="shared" si="5"/>
        <v>0</v>
      </c>
      <c r="Q46" s="721">
        <f t="shared" si="5"/>
        <v>0</v>
      </c>
      <c r="R46" s="721">
        <f ca="1">SUM(R39:R45)</f>
        <v>90620.039589372507</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211.99396883876074</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211.99396883876074</v>
      </c>
    </row>
    <row r="50" spans="1:18">
      <c r="A50" s="819" t="s">
        <v>307</v>
      </c>
      <c r="B50" s="829"/>
      <c r="C50" s="1008">
        <f ca="1">transport!B18</f>
        <v>0.32492744042674115</v>
      </c>
      <c r="D50" s="1008">
        <f>transport!C18</f>
        <v>0</v>
      </c>
      <c r="E50" s="1008">
        <f>transport!D18</f>
        <v>0.89636438765437809</v>
      </c>
      <c r="F50" s="1008">
        <f>transport!E18</f>
        <v>57.950158059135397</v>
      </c>
      <c r="G50" s="1008">
        <f>transport!F18</f>
        <v>0</v>
      </c>
      <c r="H50" s="1008">
        <f>transport!G18</f>
        <v>24001.445174324654</v>
      </c>
      <c r="I50" s="1008">
        <f>transport!H18</f>
        <v>2449.0925098618036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26509.709134073673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0.32492744042674115</v>
      </c>
      <c r="D52" s="721">
        <f t="shared" ref="D52:Q52" ca="1" si="6">SUM(D48:D51)</f>
        <v>0</v>
      </c>
      <c r="E52" s="721">
        <f t="shared" si="6"/>
        <v>0.89636438765437809</v>
      </c>
      <c r="F52" s="721">
        <f t="shared" si="6"/>
        <v>57.950158059135397</v>
      </c>
      <c r="G52" s="721">
        <f t="shared" si="6"/>
        <v>0</v>
      </c>
      <c r="H52" s="721">
        <f t="shared" si="6"/>
        <v>24213.439143163414</v>
      </c>
      <c r="I52" s="721">
        <f t="shared" si="6"/>
        <v>2449.0925098618036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26721.703102912434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90.963293491850266</v>
      </c>
      <c r="D54" s="1008">
        <f ca="1">+landbouw!C12</f>
        <v>0</v>
      </c>
      <c r="E54" s="1008">
        <f>+landbouw!D12</f>
        <v>26.587881596179738</v>
      </c>
      <c r="F54" s="1008">
        <f>+landbouw!E12</f>
        <v>0.91627023794376183</v>
      </c>
      <c r="G54" s="1008">
        <f>+landbouw!F12</f>
        <v>373.32616992432798</v>
      </c>
      <c r="H54" s="1008">
        <f>+landbouw!G12</f>
        <v>0</v>
      </c>
      <c r="I54" s="1008">
        <f>+landbouw!H12</f>
        <v>0</v>
      </c>
      <c r="J54" s="1008">
        <f>+landbouw!I12</f>
        <v>0</v>
      </c>
      <c r="K54" s="1008">
        <f>+landbouw!J12</f>
        <v>18.763159445214782</v>
      </c>
      <c r="L54" s="1008">
        <f>+landbouw!K12</f>
        <v>0</v>
      </c>
      <c r="M54" s="1008">
        <f>+landbouw!L12</f>
        <v>0</v>
      </c>
      <c r="N54" s="1008">
        <f>+landbouw!M12</f>
        <v>0</v>
      </c>
      <c r="O54" s="1008">
        <f>+landbouw!N12</f>
        <v>0</v>
      </c>
      <c r="P54" s="1008">
        <f>+landbouw!O12</f>
        <v>0</v>
      </c>
      <c r="Q54" s="1009">
        <f>+landbouw!P12</f>
        <v>0</v>
      </c>
      <c r="R54" s="720">
        <f ca="1">SUM(C54:Q54)</f>
        <v>510.55677469551654</v>
      </c>
    </row>
    <row r="55" spans="1:18" ht="15" thickBot="1">
      <c r="A55" s="819" t="s">
        <v>912</v>
      </c>
      <c r="B55" s="829"/>
      <c r="C55" s="1008">
        <f ca="1">C25*'EF ele_warmte'!B12</f>
        <v>273.19287399214812</v>
      </c>
      <c r="D55" s="1008"/>
      <c r="E55" s="1008">
        <f>E25*EF_CO2_aardgas</f>
        <v>1591.0414462145122</v>
      </c>
      <c r="F55" s="1008"/>
      <c r="G55" s="1008"/>
      <c r="H55" s="1008"/>
      <c r="I55" s="1008"/>
      <c r="J55" s="1008"/>
      <c r="K55" s="1008"/>
      <c r="L55" s="1008"/>
      <c r="M55" s="1008"/>
      <c r="N55" s="1008"/>
      <c r="O55" s="1008"/>
      <c r="P55" s="1008"/>
      <c r="Q55" s="1009"/>
      <c r="R55" s="720">
        <f ca="1">SUM(C55:Q55)</f>
        <v>1864.2343202066604</v>
      </c>
    </row>
    <row r="56" spans="1:18" ht="15.75" thickBot="1">
      <c r="A56" s="817" t="s">
        <v>913</v>
      </c>
      <c r="B56" s="830"/>
      <c r="C56" s="721">
        <f ca="1">SUM(C54:C55)</f>
        <v>364.15616748399839</v>
      </c>
      <c r="D56" s="721">
        <f t="shared" ref="D56:Q56" ca="1" si="7">SUM(D54:D55)</f>
        <v>0</v>
      </c>
      <c r="E56" s="721">
        <f t="shared" si="7"/>
        <v>1617.6293278106921</v>
      </c>
      <c r="F56" s="721">
        <f t="shared" si="7"/>
        <v>0.91627023794376183</v>
      </c>
      <c r="G56" s="721">
        <f t="shared" si="7"/>
        <v>373.32616992432798</v>
      </c>
      <c r="H56" s="721">
        <f t="shared" si="7"/>
        <v>0</v>
      </c>
      <c r="I56" s="721">
        <f t="shared" si="7"/>
        <v>0</v>
      </c>
      <c r="J56" s="721">
        <f t="shared" si="7"/>
        <v>0</v>
      </c>
      <c r="K56" s="721">
        <f t="shared" si="7"/>
        <v>18.763159445214782</v>
      </c>
      <c r="L56" s="721">
        <f t="shared" si="7"/>
        <v>0</v>
      </c>
      <c r="M56" s="721">
        <f t="shared" si="7"/>
        <v>0</v>
      </c>
      <c r="N56" s="721">
        <f t="shared" si="7"/>
        <v>0</v>
      </c>
      <c r="O56" s="721">
        <f t="shared" si="7"/>
        <v>0</v>
      </c>
      <c r="P56" s="721">
        <f t="shared" si="7"/>
        <v>0</v>
      </c>
      <c r="Q56" s="722">
        <f t="shared" si="7"/>
        <v>0</v>
      </c>
      <c r="R56" s="723">
        <f ca="1">SUM(R54:R55)</f>
        <v>2374.7910949021771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29106.747515796666</v>
      </c>
      <c r="D61" s="729">
        <f t="shared" ref="D61:Q61" ca="1" si="8">D46+D52+D56</f>
        <v>0.72142857142857153</v>
      </c>
      <c r="E61" s="729">
        <f t="shared" ca="1" si="8"/>
        <v>51896.478195639422</v>
      </c>
      <c r="F61" s="729">
        <f t="shared" si="8"/>
        <v>1530.2508727072084</v>
      </c>
      <c r="G61" s="729">
        <f t="shared" ca="1" si="8"/>
        <v>8653.2883796189544</v>
      </c>
      <c r="H61" s="729">
        <f t="shared" si="8"/>
        <v>24213.439143163414</v>
      </c>
      <c r="I61" s="729">
        <f t="shared" si="8"/>
        <v>2449.0925098618036</v>
      </c>
      <c r="J61" s="729">
        <f t="shared" si="8"/>
        <v>0</v>
      </c>
      <c r="K61" s="729">
        <f t="shared" si="8"/>
        <v>1866.5157418282315</v>
      </c>
      <c r="L61" s="729">
        <f t="shared" si="8"/>
        <v>0</v>
      </c>
      <c r="M61" s="729">
        <f t="shared" ca="1" si="8"/>
        <v>0</v>
      </c>
      <c r="N61" s="729">
        <f t="shared" si="8"/>
        <v>0</v>
      </c>
      <c r="O61" s="729">
        <f t="shared" ca="1" si="8"/>
        <v>0</v>
      </c>
      <c r="P61" s="729">
        <f t="shared" si="8"/>
        <v>0</v>
      </c>
      <c r="Q61" s="729">
        <f t="shared" si="8"/>
        <v>0</v>
      </c>
      <c r="R61" s="729">
        <f ca="1">R46+R52+R56</f>
        <v>119716.53378718712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0.21230012283607805</v>
      </c>
      <c r="D63" s="773">
        <f t="shared" ca="1" si="9"/>
        <v>0.2244444444444445</v>
      </c>
      <c r="E63" s="1010">
        <f t="shared" ca="1" si="9"/>
        <v>0.20200000000000001</v>
      </c>
      <c r="F63" s="773">
        <f t="shared" si="9"/>
        <v>0.22700000000000001</v>
      </c>
      <c r="G63" s="773">
        <f t="shared" ca="1" si="9"/>
        <v>0.26700000000000007</v>
      </c>
      <c r="H63" s="773">
        <f t="shared" si="9"/>
        <v>0.26700000000000002</v>
      </c>
      <c r="I63" s="773">
        <f t="shared" si="9"/>
        <v>0.24900000000000003</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5397.1574333776171</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0.64285714285714279</v>
      </c>
      <c r="D76" s="1020">
        <f>'lokale energieproductie'!C8</f>
        <v>0.71428571428571419</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0.14428571428571427</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5397.1574333776171</v>
      </c>
      <c r="C78" s="744">
        <f>SUM(C72:C77)</f>
        <v>0.64285714285714279</v>
      </c>
      <c r="D78" s="745">
        <f t="shared" ref="D78:H78" si="10">SUM(D76:D77)</f>
        <v>0.71428571428571419</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0.14428571428571427</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3.214285714285714</v>
      </c>
      <c r="D87" s="766">
        <f>'lokale energieproductie'!C17</f>
        <v>3.5714285714285716</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0.72142857142857153</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3.214285714285714</v>
      </c>
      <c r="D90" s="744">
        <f t="shared" ref="D90:H90" si="12">SUM(D87:D89)</f>
        <v>3.5714285714285716</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0.72142857142857153</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5397.1574333776171</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0.64285714285714279</v>
      </c>
      <c r="C8" s="558">
        <f>B101</f>
        <v>0.71428571428571419</v>
      </c>
      <c r="D8" s="991"/>
      <c r="E8" s="991">
        <f>E101</f>
        <v>0</v>
      </c>
      <c r="F8" s="992"/>
      <c r="G8" s="559"/>
      <c r="H8" s="991">
        <f>I101</f>
        <v>0</v>
      </c>
      <c r="I8" s="991">
        <f>G101+F101</f>
        <v>0</v>
      </c>
      <c r="J8" s="991">
        <f>H101+D101+C101</f>
        <v>0</v>
      </c>
      <c r="K8" s="991"/>
      <c r="L8" s="991"/>
      <c r="M8" s="991"/>
      <c r="N8" s="560"/>
      <c r="O8" s="561">
        <f>C8*$C$12+D8*$D$12+E8*$E$12+F8*$F$12+G8*$G$12+H8*$H$12+I8*$I$12+J8*$J$12</f>
        <v>0.14428571428571427</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5397.8002905204739</v>
      </c>
      <c r="C10" s="570">
        <f t="shared" ref="C10:L10" si="0">SUM(C8:C9)</f>
        <v>0.71428571428571419</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0.14428571428571427</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3.214285714285714</v>
      </c>
      <c r="C17" s="582">
        <f>B102</f>
        <v>3.5714285714285716</v>
      </c>
      <c r="D17" s="583"/>
      <c r="E17" s="583">
        <f>E102</f>
        <v>0</v>
      </c>
      <c r="F17" s="584"/>
      <c r="G17" s="585"/>
      <c r="H17" s="582">
        <f>I102</f>
        <v>0</v>
      </c>
      <c r="I17" s="583">
        <f>G102+F102</f>
        <v>0</v>
      </c>
      <c r="J17" s="583">
        <f>H102+D102+C102</f>
        <v>0</v>
      </c>
      <c r="K17" s="583"/>
      <c r="L17" s="583"/>
      <c r="M17" s="583"/>
      <c r="N17" s="998"/>
      <c r="O17" s="586">
        <f>C17*$C$22+E17*$E$22+H17*$H$22+I17*$I$22+J17*$J$22+D17*$D$22+F17*$F$22+G17*$G$22+K17*$K$22+L17*$L$22</f>
        <v>0.72142857142857153</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3.214285714285714</v>
      </c>
      <c r="C20" s="569">
        <f>SUM(C17:C19)</f>
        <v>3.5714285714285716</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0.72142857142857153</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45041</v>
      </c>
      <c r="C28" s="789">
        <v>9600</v>
      </c>
      <c r="D28" s="642" t="s">
        <v>948</v>
      </c>
      <c r="E28" s="641" t="s">
        <v>949</v>
      </c>
      <c r="F28" s="641" t="s">
        <v>950</v>
      </c>
      <c r="G28" s="641" t="s">
        <v>951</v>
      </c>
      <c r="H28" s="641" t="s">
        <v>951</v>
      </c>
      <c r="I28" s="641" t="s">
        <v>952</v>
      </c>
      <c r="J28" s="788">
        <v>41031</v>
      </c>
      <c r="K28" s="788">
        <v>41091</v>
      </c>
      <c r="L28" s="641" t="s">
        <v>953</v>
      </c>
      <c r="M28" s="641">
        <v>1</v>
      </c>
      <c r="N28" s="641">
        <v>0.64285714285714279</v>
      </c>
      <c r="O28" s="641">
        <v>3.214285714285714</v>
      </c>
      <c r="P28" s="641">
        <v>4.2857142857142856</v>
      </c>
      <c r="Q28" s="641">
        <v>0</v>
      </c>
      <c r="R28" s="641">
        <v>0</v>
      </c>
      <c r="S28" s="641">
        <v>0</v>
      </c>
      <c r="T28" s="641">
        <v>0</v>
      </c>
      <c r="U28" s="641">
        <v>0</v>
      </c>
      <c r="V28" s="641">
        <v>0</v>
      </c>
      <c r="W28" s="641"/>
      <c r="X28" s="641">
        <v>1300</v>
      </c>
      <c r="Y28" s="641" t="s">
        <v>54</v>
      </c>
      <c r="Z28" s="643" t="s">
        <v>156</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v>
      </c>
      <c r="N58" s="599">
        <f>SUM(N28:N57)</f>
        <v>0.64285714285714279</v>
      </c>
      <c r="O58" s="599">
        <f t="shared" ref="O58:W58" si="2">SUM(O28:O57)</f>
        <v>3.214285714285714</v>
      </c>
      <c r="P58" s="599">
        <f t="shared" si="2"/>
        <v>4.2857142857142856</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1</v>
      </c>
      <c r="N60" s="599">
        <f ca="1">SUMIF($Z$28:AD57,"tertiair",N28:N57)</f>
        <v>0.64285714285714279</v>
      </c>
      <c r="O60" s="599">
        <f ca="1">SUMIF($Z$28:AE57,"tertiair",O28:O57)</f>
        <v>3.214285714285714</v>
      </c>
      <c r="P60" s="599">
        <f ca="1">SUMIF($Z$28:AF57,"tertiair",P28:P57)</f>
        <v>4.2857142857142856</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0.83333333333333337</v>
      </c>
      <c r="C98" s="624">
        <f>IF(ISERROR(N58/(O58+N58)),0,N58/(N58+O58))</f>
        <v>0.16666666666666666</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0.71428571428571419</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3.5714285714285716</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38666.137343235918</v>
      </c>
      <c r="C4" s="461">
        <f>huishoudens!C8</f>
        <v>0</v>
      </c>
      <c r="D4" s="461">
        <f>huishoudens!D8</f>
        <v>107435.25526480688</v>
      </c>
      <c r="E4" s="461">
        <f>huishoudens!E8</f>
        <v>5959.4301936111278</v>
      </c>
      <c r="F4" s="461">
        <f>huishoudens!F8</f>
        <v>15160.231134441279</v>
      </c>
      <c r="G4" s="461">
        <f>huishoudens!G8</f>
        <v>0</v>
      </c>
      <c r="H4" s="461">
        <f>huishoudens!H8</f>
        <v>0</v>
      </c>
      <c r="I4" s="461">
        <f>huishoudens!I8</f>
        <v>0</v>
      </c>
      <c r="J4" s="461">
        <f>huishoudens!J8</f>
        <v>5112.2370490846333</v>
      </c>
      <c r="K4" s="461">
        <f>huishoudens!K8</f>
        <v>0</v>
      </c>
      <c r="L4" s="461">
        <f>huishoudens!L8</f>
        <v>0</v>
      </c>
      <c r="M4" s="461">
        <f>huishoudens!M8</f>
        <v>0</v>
      </c>
      <c r="N4" s="461">
        <f>huishoudens!N8</f>
        <v>24279.848511653468</v>
      </c>
      <c r="O4" s="461">
        <f>huishoudens!O8</f>
        <v>64.096666666666678</v>
      </c>
      <c r="P4" s="462">
        <f>huishoudens!P8</f>
        <v>228.8</v>
      </c>
      <c r="Q4" s="463">
        <f>SUM(B4:P4)</f>
        <v>196906.03616349996</v>
      </c>
    </row>
    <row r="5" spans="1:17">
      <c r="A5" s="460" t="s">
        <v>156</v>
      </c>
      <c r="B5" s="461">
        <f ca="1">tertiair!B16</f>
        <v>32467.162968011391</v>
      </c>
      <c r="C5" s="461">
        <f ca="1">tertiair!C16</f>
        <v>3.214285714285714</v>
      </c>
      <c r="D5" s="461">
        <f ca="1">tertiair!D16</f>
        <v>48319.33719775761</v>
      </c>
      <c r="E5" s="461">
        <f>tertiair!E16</f>
        <v>233.50659835884747</v>
      </c>
      <c r="F5" s="461">
        <f ca="1">tertiair!F16</f>
        <v>7457.3924582385835</v>
      </c>
      <c r="G5" s="461">
        <f>tertiair!G16</f>
        <v>0</v>
      </c>
      <c r="H5" s="461">
        <f>tertiair!H16</f>
        <v>0</v>
      </c>
      <c r="I5" s="461">
        <f>tertiair!I16</f>
        <v>0</v>
      </c>
      <c r="J5" s="461">
        <f>tertiair!J16</f>
        <v>0</v>
      </c>
      <c r="K5" s="461">
        <f>tertiair!K16</f>
        <v>0</v>
      </c>
      <c r="L5" s="461">
        <f ca="1">tertiair!L16</f>
        <v>0</v>
      </c>
      <c r="M5" s="461">
        <f>tertiair!M16</f>
        <v>0</v>
      </c>
      <c r="N5" s="461">
        <f ca="1">tertiair!N16</f>
        <v>1523.5913488636902</v>
      </c>
      <c r="O5" s="461">
        <f>tertiair!O16</f>
        <v>0</v>
      </c>
      <c r="P5" s="462">
        <f>tertiair!P16</f>
        <v>0</v>
      </c>
      <c r="Q5" s="460">
        <f t="shared" ref="Q5:Q14" ca="1" si="0">SUM(B5:P5)</f>
        <v>90004.204856944401</v>
      </c>
    </row>
    <row r="6" spans="1:17">
      <c r="A6" s="460" t="s">
        <v>194</v>
      </c>
      <c r="B6" s="461">
        <f>'openbare verlichting'!B8</f>
        <v>1856.711</v>
      </c>
      <c r="C6" s="461"/>
      <c r="D6" s="461"/>
      <c r="E6" s="461"/>
      <c r="F6" s="461"/>
      <c r="G6" s="461"/>
      <c r="H6" s="461"/>
      <c r="I6" s="461"/>
      <c r="J6" s="461"/>
      <c r="K6" s="461"/>
      <c r="L6" s="461"/>
      <c r="M6" s="461"/>
      <c r="N6" s="461"/>
      <c r="O6" s="461"/>
      <c r="P6" s="462"/>
      <c r="Q6" s="460">
        <f t="shared" si="0"/>
        <v>1856.711</v>
      </c>
    </row>
    <row r="7" spans="1:17">
      <c r="A7" s="460" t="s">
        <v>112</v>
      </c>
      <c r="B7" s="461">
        <f>landbouw!B8</f>
        <v>428.46557164776192</v>
      </c>
      <c r="C7" s="461">
        <f>landbouw!C8</f>
        <v>0</v>
      </c>
      <c r="D7" s="461">
        <f>landbouw!D8</f>
        <v>131.62317621871156</v>
      </c>
      <c r="E7" s="461">
        <f>landbouw!E8</f>
        <v>4.0364327662720783</v>
      </c>
      <c r="F7" s="461">
        <f>landbouw!F8</f>
        <v>1398.2253555218276</v>
      </c>
      <c r="G7" s="461">
        <f>landbouw!G8</f>
        <v>0</v>
      </c>
      <c r="H7" s="461">
        <f>landbouw!H8</f>
        <v>0</v>
      </c>
      <c r="I7" s="461">
        <f>landbouw!I8</f>
        <v>0</v>
      </c>
      <c r="J7" s="461">
        <f>landbouw!J8</f>
        <v>53.003275268968316</v>
      </c>
      <c r="K7" s="461">
        <f>landbouw!K8</f>
        <v>0</v>
      </c>
      <c r="L7" s="461">
        <f>landbouw!L8</f>
        <v>0</v>
      </c>
      <c r="M7" s="461">
        <f>landbouw!M8</f>
        <v>0</v>
      </c>
      <c r="N7" s="461">
        <f>landbouw!N8</f>
        <v>0</v>
      </c>
      <c r="O7" s="461">
        <f>landbouw!O8</f>
        <v>0</v>
      </c>
      <c r="P7" s="462">
        <f>landbouw!P8</f>
        <v>0</v>
      </c>
      <c r="Q7" s="460">
        <f t="shared" si="0"/>
        <v>2015.3538114235414</v>
      </c>
    </row>
    <row r="8" spans="1:17">
      <c r="A8" s="460" t="s">
        <v>685</v>
      </c>
      <c r="B8" s="461">
        <f>industrie!B18</f>
        <v>62395.056002466983</v>
      </c>
      <c r="C8" s="461">
        <f>industrie!C18</f>
        <v>0</v>
      </c>
      <c r="D8" s="461">
        <f>industrie!D18</f>
        <v>93146.162504965556</v>
      </c>
      <c r="E8" s="461">
        <f>industrie!E18</f>
        <v>288.93300719358888</v>
      </c>
      <c r="F8" s="461">
        <f>industrie!F18</f>
        <v>8393.4708256520644</v>
      </c>
      <c r="G8" s="461">
        <f>industrie!G18</f>
        <v>0</v>
      </c>
      <c r="H8" s="461">
        <f>industrie!H18</f>
        <v>0</v>
      </c>
      <c r="I8" s="461">
        <f>industrie!I18</f>
        <v>0</v>
      </c>
      <c r="J8" s="461">
        <f>industrie!J18</f>
        <v>107.40301414422773</v>
      </c>
      <c r="K8" s="461">
        <f>industrie!K18</f>
        <v>0</v>
      </c>
      <c r="L8" s="461">
        <f>industrie!L18</f>
        <v>0</v>
      </c>
      <c r="M8" s="461">
        <f>industrie!M18</f>
        <v>0</v>
      </c>
      <c r="N8" s="461">
        <f>industrie!N18</f>
        <v>1356.3580836624174</v>
      </c>
      <c r="O8" s="461">
        <f>industrie!O18</f>
        <v>0</v>
      </c>
      <c r="P8" s="462">
        <f>industrie!P18</f>
        <v>0</v>
      </c>
      <c r="Q8" s="460">
        <f t="shared" si="0"/>
        <v>165687.38343808486</v>
      </c>
    </row>
    <row r="9" spans="1:17" s="466" customFormat="1">
      <c r="A9" s="464" t="s">
        <v>579</v>
      </c>
      <c r="B9" s="465">
        <f>transport!B14</f>
        <v>1.5305099030848195</v>
      </c>
      <c r="C9" s="465">
        <f>transport!C14</f>
        <v>0</v>
      </c>
      <c r="D9" s="465">
        <f>transport!D14</f>
        <v>4.437447463635535</v>
      </c>
      <c r="E9" s="465">
        <f>transport!E14</f>
        <v>255.28703990808543</v>
      </c>
      <c r="F9" s="465">
        <f>transport!F14</f>
        <v>0</v>
      </c>
      <c r="G9" s="465">
        <f>transport!G14</f>
        <v>89893.053087358247</v>
      </c>
      <c r="H9" s="465">
        <f>transport!H14</f>
        <v>9835.7128910112588</v>
      </c>
      <c r="I9" s="465">
        <f>transport!I14</f>
        <v>0</v>
      </c>
      <c r="J9" s="465">
        <f>transport!J14</f>
        <v>0</v>
      </c>
      <c r="K9" s="465">
        <f>transport!K14</f>
        <v>0</v>
      </c>
      <c r="L9" s="465">
        <f>transport!L14</f>
        <v>0</v>
      </c>
      <c r="M9" s="465">
        <f>transport!M14</f>
        <v>4452.9155534742358</v>
      </c>
      <c r="N9" s="465">
        <f>transport!N14</f>
        <v>0</v>
      </c>
      <c r="O9" s="465">
        <f>transport!O14</f>
        <v>0</v>
      </c>
      <c r="P9" s="465">
        <f>transport!P14</f>
        <v>0</v>
      </c>
      <c r="Q9" s="464">
        <f>SUM(B9:P9)</f>
        <v>104442.93652911855</v>
      </c>
    </row>
    <row r="10" spans="1:17">
      <c r="A10" s="460" t="s">
        <v>569</v>
      </c>
      <c r="B10" s="461">
        <f>transport!B54</f>
        <v>0</v>
      </c>
      <c r="C10" s="461">
        <f>transport!C54</f>
        <v>0</v>
      </c>
      <c r="D10" s="461">
        <f>transport!D54</f>
        <v>0</v>
      </c>
      <c r="E10" s="461">
        <f>transport!E54</f>
        <v>0</v>
      </c>
      <c r="F10" s="461">
        <f>transport!F54</f>
        <v>0</v>
      </c>
      <c r="G10" s="461">
        <f>transport!G54</f>
        <v>793.98490201783045</v>
      </c>
      <c r="H10" s="461">
        <f>transport!H54</f>
        <v>0</v>
      </c>
      <c r="I10" s="461">
        <f>transport!I54</f>
        <v>0</v>
      </c>
      <c r="J10" s="461">
        <f>transport!J54</f>
        <v>0</v>
      </c>
      <c r="K10" s="461">
        <f>transport!K54</f>
        <v>0</v>
      </c>
      <c r="L10" s="461">
        <f>transport!L54</f>
        <v>0</v>
      </c>
      <c r="M10" s="461">
        <f>transport!M54</f>
        <v>34.865186807625733</v>
      </c>
      <c r="N10" s="461">
        <f>transport!N54</f>
        <v>0</v>
      </c>
      <c r="O10" s="461">
        <f>transport!O54</f>
        <v>0</v>
      </c>
      <c r="P10" s="462">
        <f>transport!P54</f>
        <v>0</v>
      </c>
      <c r="Q10" s="460">
        <f t="shared" si="0"/>
        <v>828.85008882545617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1286.82390920276</v>
      </c>
      <c r="C14" s="468"/>
      <c r="D14" s="468">
        <f>'SEAP template'!E25</f>
        <v>7876.4428030421395</v>
      </c>
      <c r="E14" s="468"/>
      <c r="F14" s="468"/>
      <c r="G14" s="468"/>
      <c r="H14" s="468"/>
      <c r="I14" s="468"/>
      <c r="J14" s="468"/>
      <c r="K14" s="468"/>
      <c r="L14" s="468"/>
      <c r="M14" s="468"/>
      <c r="N14" s="468"/>
      <c r="O14" s="468"/>
      <c r="P14" s="469"/>
      <c r="Q14" s="460">
        <f t="shared" si="0"/>
        <v>9163.2667122449002</v>
      </c>
    </row>
    <row r="15" spans="1:17" s="473" customFormat="1">
      <c r="A15" s="470" t="s">
        <v>573</v>
      </c>
      <c r="B15" s="471">
        <f ca="1">SUM(B4:B14)</f>
        <v>137101.88730446791</v>
      </c>
      <c r="C15" s="471">
        <f t="shared" ref="C15:Q15" ca="1" si="1">SUM(C4:C14)</f>
        <v>3.214285714285714</v>
      </c>
      <c r="D15" s="471">
        <f t="shared" ca="1" si="1"/>
        <v>256913.25839425452</v>
      </c>
      <c r="E15" s="471">
        <f t="shared" si="1"/>
        <v>6741.1932718379221</v>
      </c>
      <c r="F15" s="471">
        <f t="shared" ca="1" si="1"/>
        <v>32409.319773853753</v>
      </c>
      <c r="G15" s="471">
        <f t="shared" si="1"/>
        <v>90687.037989376084</v>
      </c>
      <c r="H15" s="471">
        <f t="shared" si="1"/>
        <v>9835.7128910112588</v>
      </c>
      <c r="I15" s="471">
        <f t="shared" si="1"/>
        <v>0</v>
      </c>
      <c r="J15" s="471">
        <f t="shared" si="1"/>
        <v>5272.64333849783</v>
      </c>
      <c r="K15" s="471">
        <f t="shared" si="1"/>
        <v>0</v>
      </c>
      <c r="L15" s="471">
        <f t="shared" ca="1" si="1"/>
        <v>0</v>
      </c>
      <c r="M15" s="471">
        <f t="shared" si="1"/>
        <v>4487.7807402818617</v>
      </c>
      <c r="N15" s="471">
        <f t="shared" ca="1" si="1"/>
        <v>27159.797944179576</v>
      </c>
      <c r="O15" s="471">
        <f t="shared" si="1"/>
        <v>64.096666666666678</v>
      </c>
      <c r="P15" s="471">
        <f t="shared" si="1"/>
        <v>228.8</v>
      </c>
      <c r="Q15" s="471">
        <f t="shared" ca="1" si="1"/>
        <v>570904.74260014168</v>
      </c>
    </row>
    <row r="17" spans="1:17">
      <c r="A17" s="474" t="s">
        <v>574</v>
      </c>
      <c r="B17" s="778">
        <f ca="1">huishoudens!B10</f>
        <v>0.21230012283607808</v>
      </c>
      <c r="C17" s="778">
        <f ca="1">huishoudens!C10</f>
        <v>0.2244444444444445</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8208.8257075656511</v>
      </c>
      <c r="C22" s="461">
        <f t="shared" ref="C22:C32" ca="1" si="3">C4*$C$17</f>
        <v>0</v>
      </c>
      <c r="D22" s="461">
        <f t="shared" ref="D22:D32" si="4">D4*$D$17</f>
        <v>21701.921563490992</v>
      </c>
      <c r="E22" s="461">
        <f t="shared" ref="E22:E32" si="5">E4*$E$17</f>
        <v>1352.790653949726</v>
      </c>
      <c r="F22" s="461">
        <f t="shared" ref="F22:F32" si="6">F4*$F$17</f>
        <v>4047.7817128958218</v>
      </c>
      <c r="G22" s="461">
        <f t="shared" ref="G22:G32" si="7">G4*$G$17</f>
        <v>0</v>
      </c>
      <c r="H22" s="461">
        <f t="shared" ref="H22:H32" si="8">H4*$H$17</f>
        <v>0</v>
      </c>
      <c r="I22" s="461">
        <f t="shared" ref="I22:I32" si="9">I4*$I$17</f>
        <v>0</v>
      </c>
      <c r="J22" s="461">
        <f t="shared" ref="J22:J32" si="10">J4*$J$17</f>
        <v>1809.7319153759602</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37121.05155327815</v>
      </c>
    </row>
    <row r="23" spans="1:17">
      <c r="A23" s="460" t="s">
        <v>156</v>
      </c>
      <c r="B23" s="461">
        <f t="shared" ca="1" si="2"/>
        <v>6892.7826862477832</v>
      </c>
      <c r="C23" s="461">
        <f t="shared" ca="1" si="3"/>
        <v>0.72142857142857153</v>
      </c>
      <c r="D23" s="461">
        <f t="shared" ca="1" si="4"/>
        <v>9760.5061139470381</v>
      </c>
      <c r="E23" s="461">
        <f t="shared" si="5"/>
        <v>53.00599782745838</v>
      </c>
      <c r="F23" s="461">
        <f t="shared" ca="1" si="6"/>
        <v>1991.123786349702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18698.140012943411</v>
      </c>
    </row>
    <row r="24" spans="1:17">
      <c r="A24" s="460" t="s">
        <v>194</v>
      </c>
      <c r="B24" s="461">
        <f t="shared" ca="1" si="2"/>
        <v>394.17997337109739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394.17997337109739</v>
      </c>
    </row>
    <row r="25" spans="1:17">
      <c r="A25" s="460" t="s">
        <v>112</v>
      </c>
      <c r="B25" s="461">
        <f t="shared" ca="1" si="2"/>
        <v>90.963293491850266</v>
      </c>
      <c r="C25" s="461">
        <f t="shared" ca="1" si="3"/>
        <v>0</v>
      </c>
      <c r="D25" s="461">
        <f t="shared" si="4"/>
        <v>26.587881596179738</v>
      </c>
      <c r="E25" s="461">
        <f t="shared" si="5"/>
        <v>0.91627023794376183</v>
      </c>
      <c r="F25" s="461">
        <f t="shared" si="6"/>
        <v>373.32616992432798</v>
      </c>
      <c r="G25" s="461">
        <f t="shared" si="7"/>
        <v>0</v>
      </c>
      <c r="H25" s="461">
        <f t="shared" si="8"/>
        <v>0</v>
      </c>
      <c r="I25" s="461">
        <f t="shared" si="9"/>
        <v>0</v>
      </c>
      <c r="J25" s="461">
        <f t="shared" si="10"/>
        <v>18.763159445214782</v>
      </c>
      <c r="K25" s="461">
        <f t="shared" si="11"/>
        <v>0</v>
      </c>
      <c r="L25" s="461">
        <f t="shared" si="12"/>
        <v>0</v>
      </c>
      <c r="M25" s="461">
        <f t="shared" si="13"/>
        <v>0</v>
      </c>
      <c r="N25" s="461">
        <f t="shared" si="14"/>
        <v>0</v>
      </c>
      <c r="O25" s="461">
        <f t="shared" si="15"/>
        <v>0</v>
      </c>
      <c r="P25" s="462">
        <f t="shared" si="16"/>
        <v>0</v>
      </c>
      <c r="Q25" s="460">
        <f t="shared" ca="1" si="17"/>
        <v>510.55677469551654</v>
      </c>
    </row>
    <row r="26" spans="1:17">
      <c r="A26" s="460" t="s">
        <v>685</v>
      </c>
      <c r="B26" s="461">
        <f t="shared" ca="1" si="2"/>
        <v>13246.478053687712</v>
      </c>
      <c r="C26" s="461">
        <f t="shared" ca="1" si="3"/>
        <v>0</v>
      </c>
      <c r="D26" s="461">
        <f t="shared" si="4"/>
        <v>18815.524826003042</v>
      </c>
      <c r="E26" s="461">
        <f t="shared" si="5"/>
        <v>65.587792632944684</v>
      </c>
      <c r="F26" s="461">
        <f t="shared" si="6"/>
        <v>2241.0567104491015</v>
      </c>
      <c r="G26" s="461">
        <f t="shared" si="7"/>
        <v>0</v>
      </c>
      <c r="H26" s="461">
        <f t="shared" si="8"/>
        <v>0</v>
      </c>
      <c r="I26" s="461">
        <f t="shared" si="9"/>
        <v>0</v>
      </c>
      <c r="J26" s="461">
        <f t="shared" si="10"/>
        <v>38.020667007056616</v>
      </c>
      <c r="K26" s="461">
        <f t="shared" si="11"/>
        <v>0</v>
      </c>
      <c r="L26" s="461">
        <f t="shared" si="12"/>
        <v>0</v>
      </c>
      <c r="M26" s="461">
        <f t="shared" si="13"/>
        <v>0</v>
      </c>
      <c r="N26" s="461">
        <f t="shared" si="14"/>
        <v>0</v>
      </c>
      <c r="O26" s="461">
        <f t="shared" si="15"/>
        <v>0</v>
      </c>
      <c r="P26" s="462">
        <f t="shared" si="16"/>
        <v>0</v>
      </c>
      <c r="Q26" s="460">
        <f t="shared" ca="1" si="17"/>
        <v>34406.668049779852</v>
      </c>
    </row>
    <row r="27" spans="1:17" s="466" customFormat="1">
      <c r="A27" s="464" t="s">
        <v>579</v>
      </c>
      <c r="B27" s="772">
        <f t="shared" ca="1" si="2"/>
        <v>0.32492744042674115</v>
      </c>
      <c r="C27" s="465">
        <f t="shared" ca="1" si="3"/>
        <v>0</v>
      </c>
      <c r="D27" s="465">
        <f t="shared" si="4"/>
        <v>0.89636438765437809</v>
      </c>
      <c r="E27" s="465">
        <f t="shared" si="5"/>
        <v>57.950158059135397</v>
      </c>
      <c r="F27" s="465">
        <f t="shared" si="6"/>
        <v>0</v>
      </c>
      <c r="G27" s="465">
        <f t="shared" si="7"/>
        <v>24001.445174324654</v>
      </c>
      <c r="H27" s="465">
        <f t="shared" si="8"/>
        <v>2449.0925098618036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26509.709134073673</v>
      </c>
    </row>
    <row r="28" spans="1:17">
      <c r="A28" s="460" t="s">
        <v>569</v>
      </c>
      <c r="B28" s="461">
        <f t="shared" ca="1" si="2"/>
        <v>0</v>
      </c>
      <c r="C28" s="461">
        <f t="shared" ca="1" si="3"/>
        <v>0</v>
      </c>
      <c r="D28" s="461">
        <f t="shared" si="4"/>
        <v>0</v>
      </c>
      <c r="E28" s="461">
        <f t="shared" si="5"/>
        <v>0</v>
      </c>
      <c r="F28" s="461">
        <f t="shared" si="6"/>
        <v>0</v>
      </c>
      <c r="G28" s="461">
        <f t="shared" si="7"/>
        <v>211.99396883876074</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211.99396883876074</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273.19287399214812</v>
      </c>
      <c r="C32" s="461">
        <f t="shared" ca="1" si="3"/>
        <v>0</v>
      </c>
      <c r="D32" s="461">
        <f t="shared" si="4"/>
        <v>1591.0414462145122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1864.2343202066604</v>
      </c>
    </row>
    <row r="33" spans="1:17" s="473" customFormat="1">
      <c r="A33" s="470" t="s">
        <v>573</v>
      </c>
      <c r="B33" s="471">
        <f ca="1">SUM(B22:B32)</f>
        <v>29106.747515796669</v>
      </c>
      <c r="C33" s="471">
        <f t="shared" ref="C33:Q33" ca="1" si="18">SUM(C22:C32)</f>
        <v>0.72142857142857153</v>
      </c>
      <c r="D33" s="471">
        <f t="shared" ca="1" si="18"/>
        <v>51896.478195639422</v>
      </c>
      <c r="E33" s="471">
        <f t="shared" si="18"/>
        <v>1530.2508727072084</v>
      </c>
      <c r="F33" s="471">
        <f t="shared" ca="1" si="18"/>
        <v>8653.2883796189526</v>
      </c>
      <c r="G33" s="471">
        <f t="shared" si="18"/>
        <v>24213.439143163414</v>
      </c>
      <c r="H33" s="471">
        <f t="shared" si="18"/>
        <v>2449.0925098618036</v>
      </c>
      <c r="I33" s="471">
        <f t="shared" si="18"/>
        <v>0</v>
      </c>
      <c r="J33" s="471">
        <f t="shared" si="18"/>
        <v>1866.5157418282315</v>
      </c>
      <c r="K33" s="471">
        <f t="shared" si="18"/>
        <v>0</v>
      </c>
      <c r="L33" s="471">
        <f t="shared" ca="1" si="18"/>
        <v>0</v>
      </c>
      <c r="M33" s="471">
        <f t="shared" si="18"/>
        <v>0</v>
      </c>
      <c r="N33" s="471">
        <f t="shared" ca="1" si="18"/>
        <v>0</v>
      </c>
      <c r="O33" s="471">
        <f t="shared" si="18"/>
        <v>0</v>
      </c>
      <c r="P33" s="471">
        <f t="shared" si="18"/>
        <v>0</v>
      </c>
      <c r="Q33" s="471">
        <f t="shared" ca="1" si="18"/>
        <v>119716.5337871871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5397.1574333776171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0.64285714285714279</v>
      </c>
      <c r="D8" s="1037">
        <f>'SEAP template'!D76</f>
        <v>0.71428571428571419</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0.14428571428571427</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5397.1574333776171</v>
      </c>
      <c r="C10" s="1041">
        <f>SUM(C4:C9)</f>
        <v>0.64285714285714279</v>
      </c>
      <c r="D10" s="1041">
        <f t="shared" ref="D10:H10" si="0">SUM(D8:D9)</f>
        <v>0.71428571428571419</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0.14428571428571427</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0.21230012283607808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3.214285714285714</v>
      </c>
      <c r="D17" s="1038">
        <f>'SEAP template'!D87</f>
        <v>3.5714285714285716</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0.72142857142857153</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3.214285714285714</v>
      </c>
      <c r="D20" s="1041">
        <f t="shared" ref="D20:H20" si="2">SUM(D17:D19)</f>
        <v>3.5714285714285716</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0.72142857142857153</v>
      </c>
    </row>
    <row r="22" spans="1:16">
      <c r="A22" s="474" t="s">
        <v>932</v>
      </c>
      <c r="B22" s="778" t="s">
        <v>926</v>
      </c>
      <c r="C22" s="778">
        <f ca="1">'EF ele_warmte'!B22</f>
        <v>0.2244444444444445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0.21230012283607808</v>
      </c>
      <c r="C17" s="510">
        <f ca="1">'EF ele_warmte'!B22</f>
        <v>0.2244444444444445</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3</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4.6900000000000004</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2019-08-12T07:55:54Z</dcterms:modified>
</cp:coreProperties>
</file>