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K10" s="1"/>
  <c r="I9"/>
  <c r="G9"/>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4"/>
  <c r="O9" l="1"/>
  <c r="B10"/>
  <c r="O18"/>
  <c r="B98"/>
  <c r="I102" s="1"/>
  <c r="H17" s="1"/>
  <c r="H20" s="1"/>
  <c r="B20"/>
  <c r="B8"/>
  <c r="O19"/>
  <c r="E102"/>
  <c r="E17" s="1"/>
  <c r="E20" s="1"/>
  <c r="G102"/>
  <c r="C102"/>
  <c r="H102"/>
  <c r="I101"/>
  <c r="H8" s="1"/>
  <c r="H10" s="1"/>
  <c r="E101"/>
  <c r="E8" s="1"/>
  <c r="E10" s="1"/>
  <c r="G101"/>
  <c r="C101"/>
  <c r="H101"/>
  <c r="D101"/>
  <c r="F101"/>
  <c r="B101"/>
  <c r="C8" s="1"/>
  <c r="N6" i="17"/>
  <c r="L6"/>
  <c r="F6"/>
  <c r="D6"/>
  <c r="C6"/>
  <c r="N16" i="16"/>
  <c r="L16"/>
  <c r="F16"/>
  <c r="D16"/>
  <c r="C16"/>
  <c r="B16"/>
  <c r="B13" i="15"/>
  <c r="D102" i="18" l="1"/>
  <c r="J17" s="1"/>
  <c r="J20" s="1"/>
  <c r="F102"/>
  <c r="I17" s="1"/>
  <c r="B102"/>
  <c r="C17" s="1"/>
  <c r="C20" s="1"/>
  <c r="C10"/>
  <c r="I8"/>
  <c r="I10" s="1"/>
  <c r="J8"/>
  <c r="J10" s="1"/>
  <c r="B19" i="6"/>
  <c r="B18"/>
  <c r="B5"/>
  <c r="C29" i="14" s="1"/>
  <c r="B6" i="6"/>
  <c r="C64" i="14" s="1"/>
  <c r="P7" i="48"/>
  <c r="O7"/>
  <c r="O25" s="1"/>
  <c r="M7"/>
  <c r="K7"/>
  <c r="I7"/>
  <c r="H7"/>
  <c r="G7"/>
  <c r="P10"/>
  <c r="P28" s="1"/>
  <c r="O10"/>
  <c r="O28" s="1"/>
  <c r="N10"/>
  <c r="L10"/>
  <c r="K10"/>
  <c r="J10"/>
  <c r="I10"/>
  <c r="H10"/>
  <c r="F10"/>
  <c r="E10"/>
  <c r="D10"/>
  <c r="C10"/>
  <c r="P9"/>
  <c r="O9"/>
  <c r="O27" s="1"/>
  <c r="N9"/>
  <c r="L9"/>
  <c r="K9"/>
  <c r="J9"/>
  <c r="I9"/>
  <c r="F9"/>
  <c r="C9"/>
  <c r="P13"/>
  <c r="O13"/>
  <c r="O31" s="1"/>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O88"/>
  <c r="N88"/>
  <c r="N18" i="56" s="1"/>
  <c r="M88" i="14"/>
  <c r="M18" i="56" s="1"/>
  <c r="L88" i="14"/>
  <c r="L18" i="56" s="1"/>
  <c r="K88" i="14"/>
  <c r="J88"/>
  <c r="J18" i="56" s="1"/>
  <c r="I88" i="14"/>
  <c r="I18" i="56" s="1"/>
  <c r="H88" i="14"/>
  <c r="H18" i="56" s="1"/>
  <c r="G88" i="14"/>
  <c r="F88"/>
  <c r="F18" i="56" s="1"/>
  <c r="E88" i="14"/>
  <c r="E18" i="56" s="1"/>
  <c r="D88" i="14"/>
  <c r="O87"/>
  <c r="O17" i="56" s="1"/>
  <c r="N87" i="14"/>
  <c r="M87"/>
  <c r="M17" i="56" s="1"/>
  <c r="M20" s="1"/>
  <c r="L87" i="14"/>
  <c r="K87"/>
  <c r="K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K76"/>
  <c r="J76"/>
  <c r="J8" i="56" s="1"/>
  <c r="J10" s="1"/>
  <c r="I76" i="14"/>
  <c r="I8" i="56" s="1"/>
  <c r="H76" i="14"/>
  <c r="H8" i="56" s="1"/>
  <c r="G76" i="14"/>
  <c r="G8" i="56" s="1"/>
  <c r="F76" i="14"/>
  <c r="F8" i="56" s="1"/>
  <c r="E76" i="14"/>
  <c r="D76"/>
  <c r="B75"/>
  <c r="B7" i="56" s="1"/>
  <c r="B74" i="14"/>
  <c r="B6" i="56" s="1"/>
  <c r="B73" i="14"/>
  <c r="B5" i="56" s="1"/>
  <c r="B72" i="14"/>
  <c r="B4" i="56" s="1"/>
  <c r="Q54" i="14"/>
  <c r="P54"/>
  <c r="L54"/>
  <c r="L56" s="1"/>
  <c r="J54"/>
  <c r="I54"/>
  <c r="I56" s="1"/>
  <c r="H54"/>
  <c r="Q24"/>
  <c r="P24"/>
  <c r="P26" s="1"/>
  <c r="N24"/>
  <c r="N26" s="1"/>
  <c r="L24"/>
  <c r="L26" s="1"/>
  <c r="J24"/>
  <c r="I24"/>
  <c r="H24"/>
  <c r="Q50"/>
  <c r="P50"/>
  <c r="O50"/>
  <c r="M50"/>
  <c r="L50"/>
  <c r="K50"/>
  <c r="J50"/>
  <c r="G50"/>
  <c r="D50"/>
  <c r="Q49"/>
  <c r="P49"/>
  <c r="Q20"/>
  <c r="P20"/>
  <c r="O20"/>
  <c r="M20"/>
  <c r="M22" s="1"/>
  <c r="L20"/>
  <c r="K20"/>
  <c r="J20"/>
  <c r="G20"/>
  <c r="D20"/>
  <c r="Q19"/>
  <c r="P19"/>
  <c r="O19"/>
  <c r="M19"/>
  <c r="L19"/>
  <c r="L22" s="1"/>
  <c r="K19"/>
  <c r="K22" s="1"/>
  <c r="J19"/>
  <c r="J22" s="1"/>
  <c r="I19"/>
  <c r="G19"/>
  <c r="F19"/>
  <c r="E19"/>
  <c r="D19"/>
  <c r="Q48"/>
  <c r="P48"/>
  <c r="O48"/>
  <c r="M48"/>
  <c r="L48"/>
  <c r="K48"/>
  <c r="J48"/>
  <c r="G48"/>
  <c r="D48"/>
  <c r="Q18"/>
  <c r="Q22" s="1"/>
  <c r="P18"/>
  <c r="P22" s="1"/>
  <c r="O18"/>
  <c r="O22" s="1"/>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F90"/>
  <c r="R78"/>
  <c r="P56"/>
  <c r="J56"/>
  <c r="H56"/>
  <c r="Q56"/>
  <c r="Q52"/>
  <c r="P52"/>
  <c r="R44"/>
  <c r="Q26"/>
  <c r="J26"/>
  <c r="I26"/>
  <c r="E25"/>
  <c r="D14" i="48" s="1"/>
  <c r="C25" i="14"/>
  <c r="B14" i="48" s="1"/>
  <c r="H26" i="14"/>
  <c r="D22"/>
  <c r="F13" i="15"/>
  <c r="D13"/>
  <c r="C13"/>
  <c r="L8" i="56" l="1"/>
  <c r="L10" s="1"/>
  <c r="L78" i="14"/>
  <c r="N17" i="56"/>
  <c r="N20" s="1"/>
  <c r="N90" i="14"/>
  <c r="C76"/>
  <c r="C8" i="56" s="1"/>
  <c r="C10" s="1"/>
  <c r="E8"/>
  <c r="E10" s="1"/>
  <c r="M78" i="14"/>
  <c r="M8" i="56"/>
  <c r="M10" s="1"/>
  <c r="I20" i="18"/>
  <c r="I87" i="14"/>
  <c r="I17" i="56" s="1"/>
  <c r="I20" s="1"/>
  <c r="D8"/>
  <c r="Q76" i="14"/>
  <c r="P8" i="56" s="1"/>
  <c r="H78" i="14"/>
  <c r="H9" i="56"/>
  <c r="H10" s="1"/>
  <c r="Q87" i="14"/>
  <c r="P17" i="56" s="1"/>
  <c r="D17"/>
  <c r="D19"/>
  <c r="Q89" i="14"/>
  <c r="P19" i="56" s="1"/>
  <c r="P32" i="48"/>
  <c r="P31"/>
  <c r="P25"/>
  <c r="Q14"/>
  <c r="H90" i="14"/>
  <c r="P27" i="48"/>
  <c r="K78" i="14"/>
  <c r="K8" i="56"/>
  <c r="K10" s="1"/>
  <c r="O78" i="14"/>
  <c r="O9" i="56"/>
  <c r="O10" s="1"/>
  <c r="L90" i="14"/>
  <c r="L17" i="56"/>
  <c r="L20" s="1"/>
  <c r="G90" i="14"/>
  <c r="G18" i="56"/>
  <c r="O90" i="14"/>
  <c r="O18" i="56"/>
  <c r="C77" i="14"/>
  <c r="C9" i="56" s="1"/>
  <c r="D9"/>
  <c r="Q88" i="14"/>
  <c r="P18" i="56" s="1"/>
  <c r="D18"/>
  <c r="K90" i="14"/>
  <c r="K18" i="56"/>
  <c r="K20" s="1"/>
  <c r="N78" i="14"/>
  <c r="N8" i="56"/>
  <c r="N10" s="1"/>
  <c r="G78" i="14"/>
  <c r="I10" i="56"/>
  <c r="J78" i="14"/>
  <c r="B10" i="56"/>
  <c r="H20"/>
  <c r="F78" i="14"/>
  <c r="G10" i="56"/>
  <c r="C88" i="14"/>
  <c r="C18" i="56" s="1"/>
  <c r="G20"/>
  <c r="O20"/>
  <c r="F10"/>
  <c r="F20"/>
  <c r="D78" i="14"/>
  <c r="B76"/>
  <c r="B8" i="56" s="1"/>
  <c r="Q77" i="14"/>
  <c r="O17" i="18"/>
  <c r="O20" s="1"/>
  <c r="J87" i="14"/>
  <c r="B88"/>
  <c r="B18" i="56" s="1"/>
  <c r="C89" i="14"/>
  <c r="C19" i="56" s="1"/>
  <c r="B89" i="14"/>
  <c r="B19" i="56" s="1"/>
  <c r="B77" i="14"/>
  <c r="B9" i="56" s="1"/>
  <c r="O8" i="18"/>
  <c r="O10" s="1"/>
  <c r="N13" i="15"/>
  <c r="L13"/>
  <c r="O24" i="48"/>
  <c r="O30"/>
  <c r="P24"/>
  <c r="P30"/>
  <c r="R9" i="14"/>
  <c r="E78"/>
  <c r="C78"/>
  <c r="I78"/>
  <c r="E55"/>
  <c r="R25"/>
  <c r="B78"/>
  <c r="E90"/>
  <c r="M90"/>
  <c r="D90"/>
  <c r="Q78" l="1"/>
  <c r="B9" i="6" s="1"/>
  <c r="P9" i="56"/>
  <c r="P10" s="1"/>
  <c r="C87" i="14"/>
  <c r="C17" i="56" s="1"/>
  <c r="C20" s="1"/>
  <c r="Q90" i="14"/>
  <c r="B17" i="6" s="1"/>
  <c r="D20" i="56"/>
  <c r="J90" i="14"/>
  <c r="J17" i="56"/>
  <c r="J20" s="1"/>
  <c r="I90" i="14"/>
  <c r="P20" i="56"/>
  <c r="D10"/>
  <c r="B4" i="6"/>
  <c r="B87" i="14"/>
  <c r="B90" l="1"/>
  <c r="B17" i="56"/>
  <c r="B20"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8" i="48" l="1"/>
  <c r="K32"/>
  <c r="K27"/>
  <c r="K31"/>
  <c r="K29"/>
  <c r="K30"/>
  <c r="K22"/>
  <c r="K26"/>
  <c r="K25"/>
  <c r="K24"/>
  <c r="J10" i="14"/>
  <c r="J16" s="1"/>
  <c r="J27" s="1"/>
  <c r="I5" i="48"/>
  <c r="J24"/>
  <c r="J32"/>
  <c r="J30"/>
  <c r="J28"/>
  <c r="J27"/>
  <c r="J31"/>
  <c r="J29"/>
  <c r="Q11" i="14"/>
  <c r="P4" i="48"/>
  <c r="C24" i="14"/>
  <c r="C26" s="1"/>
  <c r="B7" i="48"/>
  <c r="O4"/>
  <c r="P11" i="14"/>
  <c r="I27" i="48"/>
  <c r="I32"/>
  <c r="I22"/>
  <c r="I25"/>
  <c r="I31"/>
  <c r="I29"/>
  <c r="I30"/>
  <c r="I24"/>
  <c r="I26"/>
  <c r="I28"/>
  <c r="E11" i="14"/>
  <c r="D4" i="48"/>
  <c r="D22" s="1"/>
  <c r="H32"/>
  <c r="H29"/>
  <c r="H25"/>
  <c r="H26"/>
  <c r="H22"/>
  <c r="H30"/>
  <c r="H28"/>
  <c r="H24"/>
  <c r="H23"/>
  <c r="D11" i="14"/>
  <c r="C4" i="48"/>
  <c r="G32"/>
  <c r="G25"/>
  <c r="G26"/>
  <c r="G29"/>
  <c r="G30"/>
  <c r="G24"/>
  <c r="G22"/>
  <c r="G23"/>
  <c r="C11" i="14"/>
  <c r="B4" i="48"/>
  <c r="F32"/>
  <c r="F30"/>
  <c r="F24"/>
  <c r="F28"/>
  <c r="F31"/>
  <c r="F29"/>
  <c r="F27"/>
  <c r="N24"/>
  <c r="N32"/>
  <c r="N30"/>
  <c r="N31"/>
  <c r="N28"/>
  <c r="N27"/>
  <c r="N29"/>
  <c r="B10"/>
  <c r="C19" i="14"/>
  <c r="E32" i="48"/>
  <c r="E28"/>
  <c r="E31"/>
  <c r="E30"/>
  <c r="E29"/>
  <c r="E24"/>
  <c r="M12" i="13"/>
  <c r="N41" i="14" s="1"/>
  <c r="M17" i="48"/>
  <c r="L10" i="14"/>
  <c r="L16" s="1"/>
  <c r="L27" s="1"/>
  <c r="K5" i="48"/>
  <c r="D30"/>
  <c r="D28"/>
  <c r="D29"/>
  <c r="D24"/>
  <c r="D32"/>
  <c r="D31"/>
  <c r="L28"/>
  <c r="L32"/>
  <c r="L27"/>
  <c r="L30"/>
  <c r="L31"/>
  <c r="L24"/>
  <c r="L29"/>
  <c r="L22"/>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M32" i="48"/>
  <c r="M25"/>
  <c r="M30"/>
  <c r="M24"/>
  <c r="M26"/>
  <c r="M22"/>
  <c r="M29"/>
  <c r="M23"/>
  <c r="F4"/>
  <c r="F22" s="1"/>
  <c r="G11" i="14"/>
  <c r="H13" i="48"/>
  <c r="H31" s="1"/>
  <c r="I18" i="14"/>
  <c r="P8" i="48"/>
  <c r="P26" s="1"/>
  <c r="Q13" i="14"/>
  <c r="K15" i="48"/>
  <c r="K23"/>
  <c r="I23"/>
  <c r="I15"/>
  <c r="H18" i="14"/>
  <c r="G13" i="48"/>
  <c r="N18" i="14"/>
  <c r="M13" i="48"/>
  <c r="M31" s="1"/>
  <c r="P22"/>
  <c r="J12" i="17"/>
  <c r="K54" i="14" s="1"/>
  <c r="K56" s="1"/>
  <c r="J7" i="48"/>
  <c r="J25" s="1"/>
  <c r="K24" i="14"/>
  <c r="K26" s="1"/>
  <c r="O22" i="48"/>
  <c r="I33"/>
  <c r="Q16" i="14"/>
  <c r="Q27" s="1"/>
  <c r="L63"/>
  <c r="J63"/>
  <c r="J46"/>
  <c r="J61" s="1"/>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E4" i="48"/>
  <c r="F11" i="14"/>
  <c r="R11" s="1"/>
  <c r="N4" i="48"/>
  <c r="N22" s="1"/>
  <c r="O11" i="14"/>
  <c r="F20"/>
  <c r="F22" s="1"/>
  <c r="E9" i="48"/>
  <c r="E27" s="1"/>
  <c r="G31"/>
  <c r="Q13"/>
  <c r="I20" i="14"/>
  <c r="I22" s="1"/>
  <c r="I27" s="1"/>
  <c r="H9" i="48"/>
  <c r="O8"/>
  <c r="P13" i="14"/>
  <c r="N19"/>
  <c r="M10" i="48"/>
  <c r="M28" s="1"/>
  <c r="D9"/>
  <c r="D27" s="1"/>
  <c r="E20" i="14"/>
  <c r="E22" s="1"/>
  <c r="B9" i="48"/>
  <c r="C20" i="14"/>
  <c r="H19"/>
  <c r="R19" s="1"/>
  <c r="G10" i="48"/>
  <c r="K11" i="14"/>
  <c r="J4" i="48"/>
  <c r="E7"/>
  <c r="E25" s="1"/>
  <c r="F24" i="14"/>
  <c r="F26" s="1"/>
  <c r="R18"/>
  <c r="P16"/>
  <c r="P27" s="1"/>
  <c r="P46"/>
  <c r="P61" s="1"/>
  <c r="P15" i="48"/>
  <c r="D18" i="22"/>
  <c r="E50" i="14" s="1"/>
  <c r="E52" s="1"/>
  <c r="Q46"/>
  <c r="Q61" s="1"/>
  <c r="Q63" s="1"/>
  <c r="P33" i="48"/>
  <c r="M14" i="22"/>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H18" i="22"/>
  <c r="I50" i="14" s="1"/>
  <c r="I52" s="1"/>
  <c r="I61" s="1"/>
  <c r="I63" s="1"/>
  <c r="N20" i="15"/>
  <c r="O40" i="14" s="1"/>
  <c r="F20" i="15"/>
  <c r="G40" i="14" s="1"/>
  <c r="N5" i="16"/>
  <c r="E5"/>
  <c r="J5"/>
  <c r="C35" i="13"/>
  <c r="F5" i="16"/>
  <c r="C36" i="13"/>
  <c r="N12"/>
  <c r="O41" i="14" s="1"/>
  <c r="C38" i="13"/>
  <c r="C39"/>
  <c r="C32"/>
  <c r="C34"/>
  <c r="J12"/>
  <c r="K41" i="14" s="1"/>
  <c r="L20" i="15"/>
  <c r="M40" i="14" s="1"/>
  <c r="M46" s="1"/>
  <c r="N22" l="1"/>
  <c r="N27" s="1"/>
  <c r="N63" s="1"/>
  <c r="N52"/>
  <c r="N61" s="1"/>
  <c r="N20"/>
  <c r="R20" s="1"/>
  <c r="R22" s="1"/>
  <c r="M9" i="48"/>
  <c r="H20" i="14"/>
  <c r="H22" s="1"/>
  <c r="H27" s="1"/>
  <c r="G9" i="48"/>
  <c r="E22"/>
  <c r="Q4"/>
  <c r="K10" i="14"/>
  <c r="J5" i="48"/>
  <c r="J23" s="1"/>
  <c r="C22" i="14"/>
  <c r="H27" i="48"/>
  <c r="H33" s="1"/>
  <c r="H15"/>
  <c r="O26"/>
  <c r="O33" s="1"/>
  <c r="O15"/>
  <c r="F10" i="14"/>
  <c r="E5" i="48"/>
  <c r="E23" s="1"/>
  <c r="G28"/>
  <c r="Q10"/>
  <c r="J22"/>
  <c r="M18" i="22"/>
  <c r="N50" i="14" s="1"/>
  <c r="P63"/>
  <c r="Q9" i="48"/>
  <c r="E46" i="14"/>
  <c r="E61" s="1"/>
  <c r="G18" i="22"/>
  <c r="H50" i="14" s="1"/>
  <c r="H52" s="1"/>
  <c r="H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E26" s="1"/>
  <c r="F13" i="14"/>
  <c r="M27" i="48"/>
  <c r="M33" s="1"/>
  <c r="M15"/>
  <c r="G27"/>
  <c r="G33" s="1"/>
  <c r="G15"/>
  <c r="K13" i="14"/>
  <c r="J8" i="48"/>
  <c r="J26" s="1"/>
  <c r="F46" i="14"/>
  <c r="F61" s="1"/>
  <c r="F16"/>
  <c r="F27" s="1"/>
  <c r="K16"/>
  <c r="K27" s="1"/>
  <c r="K63" s="1"/>
  <c r="R10"/>
  <c r="K46"/>
  <c r="K61" s="1"/>
  <c r="H63"/>
  <c r="J33" i="48"/>
  <c r="J15"/>
  <c r="E33"/>
  <c r="Q5"/>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F63" l="1"/>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<sst xmlns="http://schemas.openxmlformats.org/spreadsheetml/2006/main" count="2504" uniqueCount="956">
  <si>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</si>
  <si>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</si>
  <si>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</si>
  <si>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</si>
  <si>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</si>
  <si>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</si>
  <si>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</si>
  <si>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</si>
  <si>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</si>
  <si>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</si>
  <si>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</si>
  <si>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</si>
  <si>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</si>
  <si>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</si>
  <si>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</si>
  <si>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</si>
  <si>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</si>
  <si>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</si>
  <si>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</si>
  <si>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</si>
  <si>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</si>
  <si>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</si>
  <si>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</si>
  <si>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</si>
  <si>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</si>
  <si>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</si>
  <si>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</si>
  <si>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</si>
  <si>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</si>
  <si>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</si>
  <si>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</si>
  <si>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</si>
  <si>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</si>
  <si>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</si>
  <si>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</si>
  <si>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</si>
  <si>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</si>
  <si>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</si>
  <si>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</si>
  <si>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</si>
  <si>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</si>
  <si>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</si>
  <si>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</si>
  <si>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</si>
  <si>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</si>
  <si>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</si>
  <si>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</si>
  <si>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</si>
  <si>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</si>
  <si>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</si>
  <si>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</si>
  <si>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</si>
  <si>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</si>
  <si>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</si>
  <si>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</si>
  <si>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</si>
  <si>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</si>
  <si>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</si>
  <si>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</si>
  <si>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</si>
  <si>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</si>
  <si>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</si>
  <si>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</si>
  <si>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</si>
  <si>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</si>
  <si>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</si>
  <si>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</si>
  <si>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</si>
  <si>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</si>
  <si>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</si>
  <si>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</si>
  <si>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</si>
  <si>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</si>
  <si>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</si>
  <si>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</si>
  <si>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</si>
  <si>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</si>
  <si>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</si>
  <si>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</si>
  <si>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</si>
  <si>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</si>
  <si>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</si>
  <si>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</si>
  <si>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</si>
  <si>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</si>
  <si>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</si>
  <si>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</si>
  <si>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</si>
  <si>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</si>
  <si>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</si>
  <si>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</si>
  <si>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</si>
  <si>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</si>
  <si>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</si>
  <si>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</si>
  <si>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</si>
  <si>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</si>
  <si>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</si>
  <si>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</si>
  <si>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</si>
  <si>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</si>
  <si>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</si>
  <si>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</si>
  <si>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</si>
  <si>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</si>
  <si>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</si>
  <si>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</si>
  <si>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</si>
  <si>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</si>
  <si>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</si>
  <si>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</si>
  <si>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</si>
  <si>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</si>
  <si>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</si>
  <si>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</si>
  <si>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</si>
  <si>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</si>
  <si>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</si>
  <si>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</si>
  <si>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</si>
  <si>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</si>
  <si>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</si>
  <si>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</si>
  <si>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</si>
  <si>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</si>
  <si>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</si>
  <si>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</si>
  <si>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</si>
  <si>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</si>
  <si>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</si>
  <si>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</si>
  <si>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</si>
  <si>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</si>
  <si>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</si>
  <si>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</si>
  <si>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</si>
  <si>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</si>
  <si>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</si>
  <si>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</si>
  <si>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</si>
  <si>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</si>
  <si>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</si>
  <si>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</si>
  <si>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</si>
  <si>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</si>
  <si>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</si>
  <si>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</si>
  <si>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</si>
  <si>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</si>
  <si>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</si>
  <si>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</si>
  <si>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</si>
  <si>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</si>
  <si>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</si>
  <si>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</si>
  <si>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</si>
  <si>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</si>
  <si>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</si>
  <si>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</si>
  <si>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</si>
  <si>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</si>
  <si>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</si>
  <si>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</si>
  <si>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</si>
  <si>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</si>
  <si>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</si>
  <si>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</si>
  <si>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</si>
  <si>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</si>
  <si>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</si>
  <si>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</si>
  <si>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</si>
  <si>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</si>
  <si>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</si>
  <si>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</si>
  <si>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</si>
  <si>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</si>
  <si>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</si>
  <si>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</si>
  <si>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</si>
  <si>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</si>
  <si>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</si>
  <si>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</si>
  <si>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</si>
  <si>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</si>
  <si>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</si>
  <si>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</si>
  <si>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</si>
  <si>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</si>
  <si>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</si>
  <si>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</si>
  <si>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</si>
  <si>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</si>
  <si>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</si>
  <si>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</si>
  <si>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</si>
  <si>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</si>
  <si>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</si>
  <si>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</si>
  <si>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</si>
  <si>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</si>
  <si>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</si>
  <si>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</si>
  <si>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</si>
  <si>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</si>
  <si>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</si>
  <si>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</si>
  <si>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</si>
  <si>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</si>
  <si>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</si>
  <si>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</si>
  <si>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</si>
  <si>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</si>
  <si>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</si>
  <si>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</si>
  <si>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</si>
  <si>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</si>
  <si>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</si>
  <si>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</si>
  <si>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</si>
  <si>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</si>
  <si>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</si>
  <si>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</si>
  <si>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</si>
  <si>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</si>
  <si>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</si>
  <si>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</si>
  <si>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</si>
  <si>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</si>
  <si>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</si>
  <si>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</si>
  <si>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</si>
  <si>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</si>
  <si>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</si>
  <si>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</si>
  <si>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</si>
  <si>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</si>
  <si>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</si>
  <si>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</si>
  <si>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</si>
  <si>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</si>
  <si>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</si>
  <si>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</si>
  <si>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</si>
  <si>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</si>
  <si>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</si>
  <si>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</si>
  <si>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</si>
  <si>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</si>
  <si>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</si>
  <si>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</si>
  <si>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</si>
  <si>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</si>
  <si>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</si>
  <si>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</si>
  <si>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</si>
  <si>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</si>
  <si>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</si>
  <si>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</si>
  <si>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</si>
  <si>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</si>
  <si>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</si>
  <si>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</si>
  <si>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</si>
  <si>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</si>
  <si>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</si>
  <si>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</si>
  <si>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</si>
  <si>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</si>
  <si>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</si>
  <si>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</si>
  <si>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</si>
  <si>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</si>
  <si>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</si>
  <si>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</si>
  <si>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</si>
  <si>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</si>
  <si>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</si>
  <si>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</si>
  <si>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</si>
  <si>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</si>
  <si>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</si>
  <si>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</si>
  <si>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</si>
  <si>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</si>
  <si>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</si>
  <si>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</si>
  <si>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</si>
  <si>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</si>
  <si>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</si>
  <si>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</si>
  <si>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</si>
  <si>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</si>
  <si>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</si>
  <si>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</si>
  <si>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</si>
  <si>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</si>
  <si>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</si>
  <si>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</si>
  <si>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</si>
  <si>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</si>
  <si>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</si>
  <si>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</si>
  <si>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</si>
  <si>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</si>
  <si>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</si>
  <si>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</si>
  <si>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</si>
  <si>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</si>
  <si>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</si>
  <si>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</si>
  <si>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</si>
  <si>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</si>
  <si>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</si>
  <si>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</si>
  <si>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</si>
  <si>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</si>
  <si>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</si>
  <si>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</si>
  <si>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</si>
  <si>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</si>
  <si>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</si>
  <si>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</si>
  <si>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</si>
  <si>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</si>
  <si>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</si>
  <si>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</si>
  <si>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</si>
  <si>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</si>
  <si>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</si>
  <si>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</si>
  <si>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</si>
  <si>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</si>
  <si>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</si>
  <si>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</si>
  <si>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</si>
  <si>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</si>
  <si>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</si>
  <si>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</si>
  <si>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</si>
  <si>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</si>
  <si>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</si>
  <si>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</si>
  <si>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</si>
  <si>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</si>
  <si>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</si>
  <si>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</si>
  <si>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</si>
  <si>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</si>
  <si>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</si>
  <si>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</si>
  <si>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</si>
  <si>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</si>
  <si>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</si>
  <si>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</si>
  <si>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</si>
  <si>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</si>
  <si>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</si>
  <si>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</si>
  <si>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</si>
  <si>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</si>
  <si>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</si>
  <si>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</si>
  <si>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</si>
  <si>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</si>
  <si>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</si>
  <si>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</si>
  <si>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</si>
  <si>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</si>
  <si>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</si>
  <si>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</si>
  <si>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</si>
  <si>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</si>
  <si>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</si>
  <si>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</si>
  <si>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</si>
  <si>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</si>
  <si>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</si>
  <si>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</si>
  <si>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</si>
  <si>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</si>
  <si>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</si>
  <si>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</si>
  <si>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</si>
  <si>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</si>
  <si>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</si>
  <si>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</si>
  <si>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</si>
  <si>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</si>
  <si>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</si>
  <si>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</si>
  <si>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</si>
  <si>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</si>
  <si>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</si>
  <si>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</si>
  <si>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</si>
  <si>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</si>
  <si>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</si>
  <si>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</si>
  <si>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</si>
  <si>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</si>
  <si>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</si>
  <si>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</si>
  <si>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</si>
  <si>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</si>
  <si>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</si>
  <si>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</si>
  <si>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</si>
  <si>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</si>
  <si>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</si>
  <si>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</si>
  <si>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</si>
  <si>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</si>
  <si>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</si>
  <si>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</si>
  <si>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</si>
  <si>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</si>
  <si>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</si>
  <si>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</si>
  <si>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</si>
  <si>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</si>
  <si>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</si>
  <si>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</si>
  <si>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</si>
  <si>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</si>
  <si>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</si>
  <si>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</si>
  <si>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</si>
  <si>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</si>
  <si>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</si>
  <si>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</si>
  <si>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</si>
  <si>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</si>
  <si>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</si>
  <si>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</si>
  <si>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</si>
  <si>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</si>
  <si>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</si>
  <si>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</si>
  <si>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</si>
  <si>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</si>
  <si>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</si>
  <si>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</si>
  <si>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</si>
  <si>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</si>
  <si>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</si>
  <si>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</si>
  <si>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</si>
  <si>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</si>
  <si>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</si>
  <si>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</si>
  <si>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</si>
  <si>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</si>
  <si>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</si>
  <si>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</si>
  <si>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</si>
  <si>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</si>
  <si>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</si>
  <si>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</si>
  <si>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</si>
  <si>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</si>
  <si>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</si>
  <si>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</si>
  <si>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</si>
  <si>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</si>
  <si>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</si>
  <si>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</si>
  <si>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</si>
  <si>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</si>
  <si>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</si>
  <si>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</si>
  <si>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</si>
  <si>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</si>
  <si>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</si>
  <si>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</si>
  <si>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</si>
  <si>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</si>
  <si>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</si>
  <si>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</si>
  <si>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</si>
  <si>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</si>
  <si>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</si>
  <si>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</si>
  <si>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</si>
  <si>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</si>
  <si>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</si>
  <si>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</si>
  <si>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</si>
  <si>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</si>
  <si>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</si>
  <si>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</si>
  <si>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</si>
  <si>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</si>
  <si>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</si>
  <si>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</si>
  <si>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</si>
  <si>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</si>
  <si>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</si>
  <si>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</si>
  <si>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</si>
  <si>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</si>
  <si>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</si>
  <si>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</si>
  <si>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</si>
  <si>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</si>
  <si>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</si>
  <si>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</si>
  <si>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</si>
  <si>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</si>
  <si>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</si>
  <si>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</si>
  <si>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</si>
  <si>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</si>
  <si>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</si>
  <si>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</si>
  <si>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</si>
  <si>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</si>
  <si>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</si>
  <si>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</si>
  <si>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</si>
  <si>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</si>
  <si>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</si>
  <si>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</si>
  <si>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</si>
  <si>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</si>
  <si>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</si>
  <si>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</si>
  <si>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</si>
  <si>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</si>
  <si>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</si>
  <si>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</si>
  <si>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</si>
  <si>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</si>
  <si>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</si>
  <si>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</si>
  <si>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</si>
  <si>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</si>
  <si>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</si>
  <si>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</si>
  <si>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</si>
  <si>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</si>
  <si>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</si>
  <si>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</si>
  <si>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</si>
  <si>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</si>
  <si>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</si>
  <si>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</si>
  <si>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</si>
  <si>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</si>
  <si>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</si>
  <si>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</si>
  <si>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</si>
  <si>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</si>
  <si>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</si>
  <si>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</si>
  <si>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</si>
  <si>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</si>
  <si>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</si>
  <si>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</si>
  <si>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</si>
  <si>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</si>
  <si>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</si>
  <si>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</si>
  <si>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</si>
  <si>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</si>
  <si>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</si>
  <si>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</si>
  <si>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</si>
  <si>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</si>
  <si>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</si>
  <si>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</si>
  <si>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</si>
  <si>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</si>
  <si>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</si>
  <si>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</si>
  <si>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</si>
  <si>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</si>
  <si>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</si>
  <si>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</si>
  <si>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</si>
  <si>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</si>
  <si>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</si>
  <si>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</si>
  <si>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</si>
  <si>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</si>
  <si>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</si>
  <si>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</si>
  <si>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</si>
  <si>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</si>
  <si>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</si>
  <si>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</si>
  <si>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</si>
  <si>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</si>
  <si>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</si>
  <si>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</si>
  <si>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</si>
  <si>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</si>
  <si>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</si>
  <si>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</si>
  <si>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</si>
  <si>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</si>
  <si>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</si>
  <si>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</si>
  <si>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</si>
  <si>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</si>
  <si>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</si>
  <si>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</si>
  <si>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</si>
  <si>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</si>
  <si>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</si>
  <si>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</si>
  <si>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</si>
  <si>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</si>
  <si>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</si>
  <si>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</si>
  <si>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</si>
  <si>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</si>
  <si>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</si>
  <si>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</si>
  <si>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</si>
  <si>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</si>
  <si>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</si>
  <si>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</si>
  <si>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</si>
  <si>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</si>
  <si>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</si>
  <si>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</si>
  <si>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</si>
  <si>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</si>
  <si>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</si>
  <si>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</si>
  <si>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</si>
  <si>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</si>
  <si>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</si>
  <si>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</si>
  <si>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</si>
  <si>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</si>
  <si>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</si>
  <si>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</si>
  <si>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</si>
  <si>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</si>
  <si>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</si>
  <si>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</si>
  <si>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</si>
  <si>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</si>
  <si>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</si>
  <si>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</si>
  <si>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</si>
  <si>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</si>
  <si>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</si>
  <si>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</si>
  <si>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</si>
  <si>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</si>
  <si>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</si>
  <si>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</si>
  <si>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</si>
  <si>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</si>
  <si>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</si>
  <si>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</si>
  <si>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</si>
  <si>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</si>
  <si>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</si>
  <si>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</si>
  <si>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</si>
  <si>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</si>
  <si>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</si>
  <si>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</si>
  <si>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</si>
  <si>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</si>
  <si>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</si>
  <si>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</si>
  <si>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</si>
  <si>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</si>
  <si>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</si>
  <si>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</si>
  <si>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</si>
  <si>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</si>
  <si>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</si>
  <si>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</si>
  <si>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</si>
  <si>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</si>
  <si>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</si>
  <si>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</si>
  <si>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</si>
  <si>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</si>
  <si>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</si>
  <si>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</si>
  <si>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</si>
  <si>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</si>
  <si>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</si>
  <si>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</si>
  <si>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</si>
  <si>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</si>
  <si>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</si>
  <si>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</si>
  <si>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</si>
  <si>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</si>
  <si>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</si>
  <si>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</si>
  <si>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</si>
  <si>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</si>
  <si>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</si>
  <si>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</si>
  <si>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</si>
  <si>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</si>
  <si>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</si>
  <si>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</si>
  <si>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</si>
  <si>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</si>
  <si>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</si>
  <si>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</si>
  <si>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</si>
  <si>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</si>
  <si>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</si>
  <si>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</si>
  <si>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</si>
  <si>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</si>
  <si>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</si>
  <si>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</si>
  <si>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</si>
  <si>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</si>
  <si>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</si>
  <si>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</si>
  <si>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</si>
  <si>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</si>
  <si>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</si>
  <si>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</si>
  <si>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</si>
  <si>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</si>
  <si>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</si>
  <si>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</si>
  <si>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</si>
  <si>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</si>
  <si>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</si>
  <si>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</si>
  <si>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</si>
  <si>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</si>
  <si>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</si>
  <si>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</si>
  <si>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</si>
  <si>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</si>
  <si>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</si>
  <si>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</si>
  <si>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</si>
  <si>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</si>
  <si>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</si>
  <si>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</si>
  <si>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</si>
  <si>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</si>
  <si>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</si>
  <si>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</si>
  <si>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</si>
  <si>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</si>
  <si>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</si>
  <si>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</si>
  <si>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</si>
  <si>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</si>
  <si>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</si>
  <si>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</si>
  <si>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</si>
  <si>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</si>
  <si>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</si>
  <si>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</si>
  <si>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</si>
  <si>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</si>
  <si>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</si>
  <si>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</si>
  <si>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</si>
  <si>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</si>
  <si>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</si>
  <si>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</si>
  <si>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</si>
  <si>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</si>
  <si>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</si>
  <si>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</si>
  <si>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</si>
  <si>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</si>
  <si>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</si>
  <si>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</si>
  <si>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</si>
  <si>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</si>
  <si>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</si>
  <si>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</si>
  <si>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</si>
  <si>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</si>
  <si>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</si>
  <si>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</si>
  <si>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</si>
  <si>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</si>
  <si>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</si>
  <si>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</si>
  <si>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</si>
  <si>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</si>
  <si>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</si>
  <si>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</si>
  <si>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</si>
  <si>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</si>
  <si>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</si>
  <si>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</si>
  <si>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</si>
  <si>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</si>
  <si>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</si>
  <si>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</si>
  <si>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</si>
  <si>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</si>
  <si>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</si>
  <si>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</si>
  <si>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</si>
  <si>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</si>
  <si>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</si>
  <si>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</si>
  <si>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</si>
  <si>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</si>
  <si>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</si>
  <si>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</si>
  <si>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</si>
  <si>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</si>
  <si>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</si>
  <si>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</si>
  <si>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</si>
  <si>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</si>
  <si>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</si>
  <si>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</si>
  <si>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</si>
  <si>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</si>
  <si>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</si>
  <si>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</si>
  <si>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</si>
  <si>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</si>
  <si>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</si>
  <si>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</si>
  <si>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</si>
  <si>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</si>
  <si>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</si>
  <si>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</si>
  <si>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</si>
  <si>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</si>
  <si>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</si>
  <si>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</si>
  <si>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</si>
  <si>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</si>
  <si>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</si>
  <si>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</si>
  <si>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</si>
  <si>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</si>
  <si>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</si>
  <si>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</si>
  <si>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</si>
  <si>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</si>
  <si>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</si>
  <si>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</si>
  <si>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</si>
  <si>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</si>
  <si>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</si>
  <si>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</si>
  <si>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</si>
  <si>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</si>
  <si>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</si>
  <si>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</si>
  <si>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</si>
  <si>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</si>
  <si>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</si>
  <si>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</si>
  <si>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</si>
  <si>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</si>
  <si>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</si>
  <si>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</si>
  <si>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</si>
  <si>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</si>
  <si>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</si>
  <si>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</si>
  <si>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</si>
  <si>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</si>
  <si>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</si>
  <si>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</si>
  <si>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</si>
  <si>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</si>
  <si>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</si>
  <si>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</si>
  <si>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</si>
  <si>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</si>
  <si>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</si>
  <si>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</si>
  <si>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</si>
  <si>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</si>
  <si>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</si>
  <si>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</si>
  <si>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</si>
  <si>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</si>
  <si>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</si>
  <si>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</si>
  <si>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</si>
  <si>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</si>
  <si>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</si>
  <si>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</si>
  <si>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</si>
  <si>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</si>
  <si>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</si>
  <si>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</si>
  <si>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</si>
  <si>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</si>
  <si>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</si>
  <si>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</si>
  <si>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</si>
  <si>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</si>
  <si>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</si>
  <si>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</si>
  <si>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</si>
  <si>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</si>
  <si>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</si>
  <si>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</si>
  <si>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</si>
  <si>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</si>
  <si>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</si>
  <si>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</si>
  <si>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</si>
  <si>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</si>
  <si>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</si>
  <si>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</si>
  <si>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</si>
  <si>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</si>
  <si>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</si>
  <si>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</si>
  <si>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</si>
  <si>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</si>
  <si>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</si>
  <si>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</si>
  <si>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</si>
  <si>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</si>
  <si>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</si>
  <si>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</si>
  <si>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</si>
  <si>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</si>
  <si>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</si>
  <si>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</si>
  <si>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</si>
  <si>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</si>
  <si>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</si>
  <si>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</si>
  <si>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</si>
  <si>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</si>
  <si>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</si>
  <si>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45035</t>
  </si>
  <si>
    <t>OUDENAARDE</t>
  </si>
  <si>
    <t>Paarden&amp;pony's 200 - 600 kg</t>
  </si>
  <si>
    <t>Paarden&amp;pony's &lt; 200 kg</t>
  </si>
  <si>
    <t>op basis van VEA (maart 2018) en Inventaris Hernieuwbare Energiebronnen (juni 2018)</t>
  </si>
  <si>
    <t>VEA (juni 2018)</t>
  </si>
  <si>
    <t>Raymond TSas</t>
  </si>
  <si>
    <t>Armenlos 6 , 9700 Oudenaarde</t>
  </si>
  <si>
    <t>WKK-0396 Raymond TSas</t>
  </si>
  <si>
    <t>stirlingmotor</t>
  </si>
  <si>
    <t>GASELWEST</t>
  </si>
  <si>
    <t>Paul De Rycke</t>
  </si>
  <si>
    <t>Watermolenstraat 12 , 9700 Oudenaarde</t>
  </si>
  <si>
    <t>WKK-0393 Paul De Rycke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</si>
</sst>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45035</v>
      </c>
      <c r="B6" s="397"/>
      <c r="C6" s="398"/>
    </row>
    <row r="7" spans="1:7" s="395" customFormat="1" ht="15.75" customHeight="1">
      <c r="A7" s="399" t="str">
        <f>txtMunicipality</f>
        <v>OUDENAARDE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0.21106703075654687</v>
      </c>
      <c r="C17" s="510">
        <f ca="1">'EF ele_warmte'!B22</f>
        <v>0.22444444444444445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0.21106703075654687</v>
      </c>
      <c r="C29" s="511">
        <f ca="1">'EF ele_warmte'!B22</f>
        <v>0.22444444444444445</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45035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12835</v>
      </c>
      <c r="C9" s="338">
        <v>13748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3793</v>
      </c>
    </row>
    <row r="15" spans="1:6">
      <c r="A15" s="1286" t="s">
        <v>184</v>
      </c>
      <c r="B15" s="335">
        <v>30</v>
      </c>
    </row>
    <row r="16" spans="1:6">
      <c r="A16" s="1286" t="s">
        <v>6</v>
      </c>
      <c r="B16" s="335">
        <v>968</v>
      </c>
    </row>
    <row r="17" spans="1:6">
      <c r="A17" s="1286" t="s">
        <v>7</v>
      </c>
      <c r="B17" s="335">
        <v>846</v>
      </c>
    </row>
    <row r="18" spans="1:6">
      <c r="A18" s="1286" t="s">
        <v>8</v>
      </c>
      <c r="B18" s="335">
        <v>1230</v>
      </c>
    </row>
    <row r="19" spans="1:6">
      <c r="A19" s="1286" t="s">
        <v>9</v>
      </c>
      <c r="B19" s="335">
        <v>1171</v>
      </c>
    </row>
    <row r="20" spans="1:6">
      <c r="A20" s="1286" t="s">
        <v>10</v>
      </c>
      <c r="B20" s="335">
        <v>783</v>
      </c>
    </row>
    <row r="21" spans="1:6">
      <c r="A21" s="1286" t="s">
        <v>11</v>
      </c>
      <c r="B21" s="335">
        <v>1795</v>
      </c>
    </row>
    <row r="22" spans="1:6">
      <c r="A22" s="1286" t="s">
        <v>12</v>
      </c>
      <c r="B22" s="335">
        <v>5557</v>
      </c>
    </row>
    <row r="23" spans="1:6">
      <c r="A23" s="1286" t="s">
        <v>13</v>
      </c>
      <c r="B23" s="335">
        <v>139</v>
      </c>
    </row>
    <row r="24" spans="1:6">
      <c r="A24" s="1286" t="s">
        <v>14</v>
      </c>
      <c r="B24" s="335">
        <v>21</v>
      </c>
    </row>
    <row r="25" spans="1:6">
      <c r="A25" s="1286" t="s">
        <v>15</v>
      </c>
      <c r="B25" s="335">
        <v>532</v>
      </c>
    </row>
    <row r="26" spans="1:6">
      <c r="A26" s="1286" t="s">
        <v>16</v>
      </c>
      <c r="B26" s="335">
        <v>56</v>
      </c>
    </row>
    <row r="27" spans="1:6">
      <c r="A27" s="1286" t="s">
        <v>17</v>
      </c>
      <c r="B27" s="335">
        <v>2</v>
      </c>
    </row>
    <row r="28" spans="1:6" s="341" customFormat="1">
      <c r="A28" s="1287" t="s">
        <v>18</v>
      </c>
      <c r="B28" s="1287">
        <v>204295</v>
      </c>
    </row>
    <row r="29" spans="1:6">
      <c r="A29" s="1287" t="s">
        <v>944</v>
      </c>
      <c r="B29" s="1287">
        <v>49</v>
      </c>
      <c r="C29" s="341"/>
      <c r="D29" s="341"/>
      <c r="E29" s="341"/>
      <c r="F29" s="341"/>
    </row>
    <row r="30" spans="1:6">
      <c r="A30" s="1282" t="s">
        <v>945</v>
      </c>
      <c r="B30" s="1282">
        <v>25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4</v>
      </c>
      <c r="F35" s="335">
        <v>27767.7139537488</v>
      </c>
    </row>
    <row r="36" spans="1:6">
      <c r="A36" s="1286" t="s">
        <v>25</v>
      </c>
      <c r="B36" s="1286" t="s">
        <v>27</v>
      </c>
      <c r="C36" s="335">
        <v>0</v>
      </c>
      <c r="D36" s="335">
        <v>0</v>
      </c>
      <c r="E36" s="335">
        <v>8</v>
      </c>
      <c r="F36" s="335">
        <v>25517.089711153101</v>
      </c>
    </row>
    <row r="37" spans="1:6">
      <c r="A37" s="1286" t="s">
        <v>25</v>
      </c>
      <c r="B37" s="1286" t="s">
        <v>28</v>
      </c>
      <c r="C37" s="335">
        <v>0</v>
      </c>
      <c r="D37" s="335">
        <v>0</v>
      </c>
      <c r="E37" s="335">
        <v>0</v>
      </c>
      <c r="F37" s="335">
        <v>0</v>
      </c>
    </row>
    <row r="38" spans="1:6">
      <c r="A38" s="1286" t="s">
        <v>25</v>
      </c>
      <c r="B38" s="1286" t="s">
        <v>29</v>
      </c>
      <c r="C38" s="335">
        <v>3</v>
      </c>
      <c r="D38" s="335">
        <v>127618.585261297</v>
      </c>
      <c r="E38" s="335">
        <v>1</v>
      </c>
      <c r="F38" s="335">
        <v>296533.014394</v>
      </c>
    </row>
    <row r="39" spans="1:6">
      <c r="A39" s="1286" t="s">
        <v>30</v>
      </c>
      <c r="B39" s="1286" t="s">
        <v>31</v>
      </c>
      <c r="C39" s="335">
        <v>7251</v>
      </c>
      <c r="D39" s="335">
        <v>121007611.64365999</v>
      </c>
      <c r="E39" s="335">
        <v>12655</v>
      </c>
      <c r="F39" s="335">
        <v>52367164.7782351</v>
      </c>
    </row>
    <row r="40" spans="1:6">
      <c r="A40" s="1286" t="s">
        <v>30</v>
      </c>
      <c r="B40" s="1286" t="s">
        <v>29</v>
      </c>
      <c r="C40" s="335">
        <v>0</v>
      </c>
      <c r="D40" s="335">
        <v>0</v>
      </c>
      <c r="E40" s="335">
        <v>0</v>
      </c>
      <c r="F40" s="335">
        <v>0</v>
      </c>
    </row>
    <row r="41" spans="1:6">
      <c r="A41" s="1286" t="s">
        <v>32</v>
      </c>
      <c r="B41" s="1286" t="s">
        <v>33</v>
      </c>
      <c r="C41" s="335">
        <v>143</v>
      </c>
      <c r="D41" s="335">
        <v>87699009.217755407</v>
      </c>
      <c r="E41" s="335">
        <v>319</v>
      </c>
      <c r="F41" s="335">
        <v>24530657.022330102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14</v>
      </c>
      <c r="D44" s="335">
        <v>3886401.1117253099</v>
      </c>
      <c r="E44" s="335">
        <v>43</v>
      </c>
      <c r="F44" s="335">
        <v>4664350.61783248</v>
      </c>
    </row>
    <row r="45" spans="1:6">
      <c r="A45" s="1286" t="s">
        <v>32</v>
      </c>
      <c r="B45" s="1286" t="s">
        <v>37</v>
      </c>
      <c r="C45" s="335">
        <v>5</v>
      </c>
      <c r="D45" s="335">
        <v>628763.81784334301</v>
      </c>
      <c r="E45" s="335">
        <v>14</v>
      </c>
      <c r="F45" s="335">
        <v>8197856.3214468304</v>
      </c>
    </row>
    <row r="46" spans="1:6">
      <c r="A46" s="1286" t="s">
        <v>32</v>
      </c>
      <c r="B46" s="1286" t="s">
        <v>38</v>
      </c>
      <c r="C46" s="335">
        <v>0</v>
      </c>
      <c r="D46" s="335">
        <v>0</v>
      </c>
      <c r="E46" s="335">
        <v>0</v>
      </c>
      <c r="F46" s="335">
        <v>0</v>
      </c>
    </row>
    <row r="47" spans="1:6">
      <c r="A47" s="1286" t="s">
        <v>32</v>
      </c>
      <c r="B47" s="1286" t="s">
        <v>39</v>
      </c>
      <c r="C47" s="335">
        <v>6</v>
      </c>
      <c r="D47" s="335">
        <v>557963.72155240097</v>
      </c>
      <c r="E47" s="335">
        <v>16</v>
      </c>
      <c r="F47" s="335">
        <v>1424069.4128187301</v>
      </c>
    </row>
    <row r="48" spans="1:6">
      <c r="A48" s="1286" t="s">
        <v>32</v>
      </c>
      <c r="B48" s="1286" t="s">
        <v>29</v>
      </c>
      <c r="C48" s="335">
        <v>40</v>
      </c>
      <c r="D48" s="335">
        <v>123844741.32363699</v>
      </c>
      <c r="E48" s="335">
        <v>45</v>
      </c>
      <c r="F48" s="335">
        <v>109337077.275704</v>
      </c>
    </row>
    <row r="49" spans="1:6">
      <c r="A49" s="1286" t="s">
        <v>32</v>
      </c>
      <c r="B49" s="1286" t="s">
        <v>40</v>
      </c>
      <c r="C49" s="335">
        <v>3</v>
      </c>
      <c r="D49" s="335">
        <v>73879.863728107506</v>
      </c>
      <c r="E49" s="335">
        <v>12</v>
      </c>
      <c r="F49" s="335">
        <v>14082889.9447474</v>
      </c>
    </row>
    <row r="50" spans="1:6">
      <c r="A50" s="1286" t="s">
        <v>32</v>
      </c>
      <c r="B50" s="1286" t="s">
        <v>41</v>
      </c>
      <c r="C50" s="335">
        <v>27</v>
      </c>
      <c r="D50" s="335">
        <v>19582269.325285099</v>
      </c>
      <c r="E50" s="335">
        <v>52</v>
      </c>
      <c r="F50" s="335">
        <v>8310543.8622407103</v>
      </c>
    </row>
    <row r="51" spans="1:6">
      <c r="A51" s="1286" t="s">
        <v>42</v>
      </c>
      <c r="B51" s="1286" t="s">
        <v>43</v>
      </c>
      <c r="C51" s="335">
        <v>12</v>
      </c>
      <c r="D51" s="335">
        <v>142760.144850532</v>
      </c>
      <c r="E51" s="335">
        <v>123</v>
      </c>
      <c r="F51" s="335">
        <v>1900696.9253058501</v>
      </c>
    </row>
    <row r="52" spans="1:6">
      <c r="A52" s="1286" t="s">
        <v>42</v>
      </c>
      <c r="B52" s="1286" t="s">
        <v>29</v>
      </c>
      <c r="C52" s="335">
        <v>8</v>
      </c>
      <c r="D52" s="335">
        <v>326001.14319952001</v>
      </c>
      <c r="E52" s="335">
        <v>5</v>
      </c>
      <c r="F52" s="335">
        <v>30216.903072372799</v>
      </c>
    </row>
    <row r="53" spans="1:6">
      <c r="A53" s="1286" t="s">
        <v>44</v>
      </c>
      <c r="B53" s="1286" t="s">
        <v>45</v>
      </c>
      <c r="C53" s="335">
        <v>221</v>
      </c>
      <c r="D53" s="335">
        <v>7761778.0755996499</v>
      </c>
      <c r="E53" s="335">
        <v>438</v>
      </c>
      <c r="F53" s="335">
        <v>2124741.6139820898</v>
      </c>
    </row>
    <row r="54" spans="1:6">
      <c r="A54" s="1286" t="s">
        <v>46</v>
      </c>
      <c r="B54" s="1286" t="s">
        <v>47</v>
      </c>
      <c r="C54" s="335">
        <v>0</v>
      </c>
      <c r="D54" s="335">
        <v>0</v>
      </c>
      <c r="E54" s="335">
        <v>1</v>
      </c>
      <c r="F54" s="335">
        <v>2424549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120</v>
      </c>
      <c r="D57" s="335">
        <v>8183987.3202487295</v>
      </c>
      <c r="E57" s="335">
        <v>271</v>
      </c>
      <c r="F57" s="335">
        <v>5695501.5667895405</v>
      </c>
    </row>
    <row r="58" spans="1:6">
      <c r="A58" s="1286" t="s">
        <v>49</v>
      </c>
      <c r="B58" s="1286" t="s">
        <v>51</v>
      </c>
      <c r="C58" s="335">
        <v>63</v>
      </c>
      <c r="D58" s="335">
        <v>4804787.9566726601</v>
      </c>
      <c r="E58" s="335">
        <v>91</v>
      </c>
      <c r="F58" s="335">
        <v>3519848.6492703799</v>
      </c>
    </row>
    <row r="59" spans="1:6">
      <c r="A59" s="1286" t="s">
        <v>49</v>
      </c>
      <c r="B59" s="1286" t="s">
        <v>52</v>
      </c>
      <c r="C59" s="335">
        <v>292</v>
      </c>
      <c r="D59" s="335">
        <v>28339113.639745802</v>
      </c>
      <c r="E59" s="335">
        <v>543</v>
      </c>
      <c r="F59" s="335">
        <v>28726343.590025499</v>
      </c>
    </row>
    <row r="60" spans="1:6">
      <c r="A60" s="1286" t="s">
        <v>49</v>
      </c>
      <c r="B60" s="1286" t="s">
        <v>53</v>
      </c>
      <c r="C60" s="335">
        <v>128</v>
      </c>
      <c r="D60" s="335">
        <v>6446568.7655253699</v>
      </c>
      <c r="E60" s="335">
        <v>189</v>
      </c>
      <c r="F60" s="335">
        <v>5639171.0710934503</v>
      </c>
    </row>
    <row r="61" spans="1:6">
      <c r="A61" s="1286" t="s">
        <v>49</v>
      </c>
      <c r="B61" s="1286" t="s">
        <v>54</v>
      </c>
      <c r="C61" s="335">
        <v>352</v>
      </c>
      <c r="D61" s="335">
        <v>71843808.862091705</v>
      </c>
      <c r="E61" s="335">
        <v>716</v>
      </c>
      <c r="F61" s="335">
        <v>10782810.931046201</v>
      </c>
    </row>
    <row r="62" spans="1:6">
      <c r="A62" s="1286" t="s">
        <v>49</v>
      </c>
      <c r="B62" s="1286" t="s">
        <v>55</v>
      </c>
      <c r="C62" s="335">
        <v>34</v>
      </c>
      <c r="D62" s="335">
        <v>5275594.8456510799</v>
      </c>
      <c r="E62" s="335">
        <v>49</v>
      </c>
      <c r="F62" s="335">
        <v>2009088.8492978001</v>
      </c>
    </row>
    <row r="63" spans="1:6">
      <c r="A63" s="1286" t="s">
        <v>49</v>
      </c>
      <c r="B63" s="1286" t="s">
        <v>29</v>
      </c>
      <c r="C63" s="335">
        <v>81</v>
      </c>
      <c r="D63" s="335">
        <v>4268178.2863143003</v>
      </c>
      <c r="E63" s="335">
        <v>78</v>
      </c>
      <c r="F63" s="335">
        <v>2647745.6402419698</v>
      </c>
    </row>
    <row r="64" spans="1:6">
      <c r="A64" s="1286" t="s">
        <v>56</v>
      </c>
      <c r="B64" s="1286" t="s">
        <v>57</v>
      </c>
      <c r="C64" s="335">
        <v>0</v>
      </c>
      <c r="D64" s="335">
        <v>0</v>
      </c>
      <c r="E64" s="335">
        <v>0</v>
      </c>
      <c r="F64" s="335">
        <v>0</v>
      </c>
    </row>
    <row r="65" spans="1:6">
      <c r="A65" s="1286" t="s">
        <v>56</v>
      </c>
      <c r="B65" s="1286" t="s">
        <v>29</v>
      </c>
      <c r="C65" s="335">
        <v>1</v>
      </c>
      <c r="D65" s="335">
        <v>27841.940691553002</v>
      </c>
      <c r="E65" s="335">
        <v>2</v>
      </c>
      <c r="F65" s="335">
        <v>22473.851646452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7</v>
      </c>
      <c r="D68" s="335">
        <v>610668.06473903696</v>
      </c>
      <c r="E68" s="335">
        <v>26</v>
      </c>
      <c r="F68" s="335">
        <v>563195.499159039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153452409</v>
      </c>
      <c r="E73" s="335">
        <v>173768704.39472911</v>
      </c>
    </row>
    <row r="74" spans="1:6">
      <c r="A74" s="1286" t="s">
        <v>64</v>
      </c>
      <c r="B74" s="1286" t="s">
        <v>772</v>
      </c>
      <c r="C74" s="1297" t="s">
        <v>766</v>
      </c>
      <c r="D74" s="335">
        <v>16678874.160439035</v>
      </c>
      <c r="E74" s="335">
        <v>18351861.508711409</v>
      </c>
    </row>
    <row r="75" spans="1:6">
      <c r="A75" s="1286" t="s">
        <v>65</v>
      </c>
      <c r="B75" s="1286" t="s">
        <v>771</v>
      </c>
      <c r="C75" s="1297" t="s">
        <v>767</v>
      </c>
      <c r="D75" s="335">
        <v>32153024</v>
      </c>
      <c r="E75" s="335">
        <v>37058091.077599831</v>
      </c>
    </row>
    <row r="76" spans="1:6">
      <c r="A76" s="1286" t="s">
        <v>65</v>
      </c>
      <c r="B76" s="1286" t="s">
        <v>772</v>
      </c>
      <c r="C76" s="1297" t="s">
        <v>768</v>
      </c>
      <c r="D76" s="335">
        <v>570220.16043903446</v>
      </c>
      <c r="E76" s="335">
        <v>705206.75228192704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730165.67912193097</v>
      </c>
      <c r="C83" s="335">
        <v>701305.30261834257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3703.8331454483732</v>
      </c>
    </row>
    <row r="92" spans="1:6">
      <c r="A92" s="1282" t="s">
        <v>69</v>
      </c>
      <c r="B92" s="338">
        <v>9425.8284168920218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3773</v>
      </c>
    </row>
    <row r="98" spans="1:6">
      <c r="A98" s="1286" t="s">
        <v>72</v>
      </c>
      <c r="B98" s="335">
        <v>0</v>
      </c>
    </row>
    <row r="99" spans="1:6">
      <c r="A99" s="1286" t="s">
        <v>73</v>
      </c>
      <c r="B99" s="335">
        <v>254</v>
      </c>
    </row>
    <row r="100" spans="1:6">
      <c r="A100" s="1286" t="s">
        <v>74</v>
      </c>
      <c r="B100" s="335">
        <v>1056</v>
      </c>
    </row>
    <row r="101" spans="1:6">
      <c r="A101" s="1286" t="s">
        <v>75</v>
      </c>
      <c r="B101" s="335">
        <v>140</v>
      </c>
    </row>
    <row r="102" spans="1:6">
      <c r="A102" s="1286" t="s">
        <v>76</v>
      </c>
      <c r="B102" s="335">
        <v>192</v>
      </c>
    </row>
    <row r="103" spans="1:6">
      <c r="A103" s="1286" t="s">
        <v>77</v>
      </c>
      <c r="B103" s="335">
        <v>423</v>
      </c>
    </row>
    <row r="104" spans="1:6">
      <c r="A104" s="1286" t="s">
        <v>78</v>
      </c>
      <c r="B104" s="335">
        <v>5315</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2</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14</v>
      </c>
      <c r="C123" s="335">
        <v>23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137</v>
      </c>
    </row>
    <row r="130" spans="1:6">
      <c r="A130" s="1286" t="s">
        <v>295</v>
      </c>
      <c r="B130" s="335">
        <v>3</v>
      </c>
    </row>
    <row r="131" spans="1:6">
      <c r="A131" s="1286" t="s">
        <v>296</v>
      </c>
      <c r="B131" s="335">
        <v>1</v>
      </c>
    </row>
    <row r="132" spans="1:6">
      <c r="A132" s="1282" t="s">
        <v>297</v>
      </c>
      <c r="B132" s="338">
        <v>14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292123.06226456014</v>
      </c>
      <c r="C3" s="44" t="s">
        <v>170</v>
      </c>
      <c r="D3" s="44"/>
      <c r="E3" s="157"/>
      <c r="F3" s="44"/>
      <c r="G3" s="44"/>
      <c r="H3" s="44"/>
      <c r="I3" s="44"/>
      <c r="J3" s="44"/>
      <c r="K3" s="97"/>
    </row>
    <row r="4" spans="1:11">
      <c r="A4" s="365" t="s">
        <v>171</v>
      </c>
      <c r="B4" s="50">
        <f>IF(ISERROR('SEAP template'!B78+'SEAP template'!C78),0,'SEAP template'!B78+'SEAP template'!C78)</f>
        <v>13131.349062340396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0.37875000000000003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0.21106703075654687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1.89375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8.4375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0.22444444444444445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2424.549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2424.549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0.21106703075654687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511.74235835375492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52367.164778235099</v>
      </c>
      <c r="C5" s="18">
        <f>IF(ISERROR('Eigen informatie GS &amp; warmtenet'!B57),0,'Eigen informatie GS &amp; warmtenet'!B57)</f>
        <v>0</v>
      </c>
      <c r="D5" s="31">
        <f>(SUM(HH_hh_gas_kWh,HH_rest_gas_kWh)/1000)*0.902</f>
        <v>109148.86570258132</v>
      </c>
      <c r="E5" s="18">
        <f>B46*B57</f>
        <v>12723.135598752957</v>
      </c>
      <c r="F5" s="18">
        <f>B51*B62</f>
        <v>43127.699195999092</v>
      </c>
      <c r="G5" s="19"/>
      <c r="H5" s="18"/>
      <c r="I5" s="18"/>
      <c r="J5" s="18">
        <f>B50*B61+C50*C61</f>
        <v>2373.0878153775579</v>
      </c>
      <c r="K5" s="18"/>
      <c r="L5" s="18"/>
      <c r="M5" s="18"/>
      <c r="N5" s="18">
        <f>B48*B59+C48*C59</f>
        <v>22774.209390752254</v>
      </c>
      <c r="O5" s="18">
        <f>B69*B70*B71</f>
        <v>250.13333333333333</v>
      </c>
      <c r="P5" s="18">
        <f>B77*B78*B79/1000-B77*B78*B79/1000/B80</f>
        <v>533.86666666666667</v>
      </c>
    </row>
    <row r="6" spans="1:16">
      <c r="A6" s="17" t="s">
        <v>639</v>
      </c>
      <c r="B6" s="780">
        <f>kWh_PV_kleiner_dan_10kW</f>
        <v>3703.8331454483732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56070.99792368347</v>
      </c>
      <c r="C8" s="22">
        <f>C5</f>
        <v>0</v>
      </c>
      <c r="D8" s="22">
        <f>D5</f>
        <v>109148.86570258132</v>
      </c>
      <c r="E8" s="22">
        <f>E5</f>
        <v>12723.135598752957</v>
      </c>
      <c r="F8" s="22">
        <f>F5</f>
        <v>43127.699195999092</v>
      </c>
      <c r="G8" s="22"/>
      <c r="H8" s="22"/>
      <c r="I8" s="22"/>
      <c r="J8" s="22">
        <f>J5</f>
        <v>2373.0878153775579</v>
      </c>
      <c r="K8" s="22"/>
      <c r="L8" s="22">
        <f>L5</f>
        <v>0</v>
      </c>
      <c r="M8" s="22">
        <f>M5</f>
        <v>0</v>
      </c>
      <c r="N8" s="22">
        <f>N5</f>
        <v>22774.209390752254</v>
      </c>
      <c r="O8" s="22">
        <f>O5</f>
        <v>250.13333333333333</v>
      </c>
      <c r="P8" s="22">
        <f>P5</f>
        <v>533.86666666666667</v>
      </c>
    </row>
    <row r="9" spans="1:16">
      <c r="B9" s="20"/>
      <c r="C9" s="20"/>
      <c r="D9" s="262"/>
      <c r="E9" s="20"/>
      <c r="F9" s="20"/>
      <c r="G9" s="20"/>
      <c r="H9" s="20"/>
      <c r="I9" s="20"/>
      <c r="J9" s="20"/>
      <c r="K9" s="20"/>
      <c r="L9" s="20"/>
      <c r="M9" s="20"/>
      <c r="N9" s="20"/>
      <c r="O9" s="20"/>
      <c r="P9" s="20"/>
    </row>
    <row r="10" spans="1:16">
      <c r="A10" s="25" t="s">
        <v>214</v>
      </c>
      <c r="B10" s="26">
        <f ca="1">'EF ele_warmte'!B12</f>
        <v>0.21106703075654687</v>
      </c>
      <c r="C10" s="26">
        <f ca="1">'EF ele_warmte'!B22</f>
        <v>0.22444444444444445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11834.739043308375</v>
      </c>
      <c r="C12" s="24">
        <f ca="1">C10*C8</f>
        <v>0</v>
      </c>
      <c r="D12" s="24">
        <f>D8*D10</f>
        <v>22048.070871921427</v>
      </c>
      <c r="E12" s="24">
        <f>E10*E8</f>
        <v>2888.1517809169213</v>
      </c>
      <c r="F12" s="24">
        <f>F10*F8</f>
        <v>11515.095685331758</v>
      </c>
      <c r="G12" s="24"/>
      <c r="H12" s="24"/>
      <c r="I12" s="24"/>
      <c r="J12" s="24">
        <f>J10*J8</f>
        <v>840.07308664365542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3773</v>
      </c>
      <c r="C18" s="169" t="s">
        <v>111</v>
      </c>
      <c r="D18" s="231"/>
      <c r="E18" s="16"/>
    </row>
    <row r="19" spans="1:7">
      <c r="A19" s="174" t="s">
        <v>72</v>
      </c>
      <c r="B19" s="38">
        <f>aantalw2001_ander</f>
        <v>0</v>
      </c>
      <c r="C19" s="169" t="s">
        <v>111</v>
      </c>
      <c r="D19" s="232"/>
      <c r="E19" s="16"/>
    </row>
    <row r="20" spans="1:7">
      <c r="A20" s="174" t="s">
        <v>73</v>
      </c>
      <c r="B20" s="38">
        <f>aantalw2001_propaan</f>
        <v>254</v>
      </c>
      <c r="C20" s="170">
        <f>IF(ISERROR(B20/SUM($B$20,$B$21,$B$22)*100),0,B20/SUM($B$20,$B$21,$B$22)*100)</f>
        <v>17.517241379310345</v>
      </c>
      <c r="D20" s="232"/>
      <c r="E20" s="16"/>
    </row>
    <row r="21" spans="1:7">
      <c r="A21" s="174" t="s">
        <v>74</v>
      </c>
      <c r="B21" s="38">
        <f>aantalw2001_elektriciteit</f>
        <v>1056</v>
      </c>
      <c r="C21" s="170">
        <f>IF(ISERROR(B21/SUM($B$20,$B$21,$B$22)*100),0,B21/SUM($B$20,$B$21,$B$22)*100)</f>
        <v>72.827586206896555</v>
      </c>
      <c r="D21" s="232"/>
      <c r="E21" s="16"/>
    </row>
    <row r="22" spans="1:7">
      <c r="A22" s="174" t="s">
        <v>75</v>
      </c>
      <c r="B22" s="38">
        <f>aantalw2001_hout</f>
        <v>140</v>
      </c>
      <c r="C22" s="170">
        <f>IF(ISERROR(B22/SUM($B$20,$B$21,$B$22)*100),0,B22/SUM($B$20,$B$21,$B$22)*100)</f>
        <v>9.6551724137931032</v>
      </c>
      <c r="D22" s="232"/>
      <c r="E22" s="16"/>
    </row>
    <row r="23" spans="1:7">
      <c r="A23" s="174" t="s">
        <v>76</v>
      </c>
      <c r="B23" s="38">
        <f>aantalw2001_niet_gespec</f>
        <v>192</v>
      </c>
      <c r="C23" s="169" t="s">
        <v>111</v>
      </c>
      <c r="D23" s="231"/>
      <c r="E23" s="16"/>
    </row>
    <row r="24" spans="1:7">
      <c r="A24" s="174" t="s">
        <v>77</v>
      </c>
      <c r="B24" s="38">
        <f>aantalw2001_steenkool</f>
        <v>423</v>
      </c>
      <c r="C24" s="169" t="s">
        <v>111</v>
      </c>
      <c r="D24" s="232"/>
      <c r="E24" s="16"/>
    </row>
    <row r="25" spans="1:7">
      <c r="A25" s="174" t="s">
        <v>78</v>
      </c>
      <c r="B25" s="38">
        <f>aantalw2001_stookolie</f>
        <v>5315</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12835</v>
      </c>
      <c r="C28" s="37"/>
      <c r="D28" s="231"/>
    </row>
    <row r="29" spans="1:7" s="16" customFormat="1">
      <c r="A29" s="233" t="s">
        <v>666</v>
      </c>
      <c r="B29" s="38">
        <f>SUM(HH_hh_gas_aantal,HH_rest_gas_aantal)</f>
        <v>7251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7251</v>
      </c>
      <c r="C32" s="170">
        <f>IF(ISERROR(B32/SUM($B$32,$B$34,$B$35,$B$36,$B$38,$B$39)*100),0,B32/SUM($B$32,$B$34,$B$35,$B$36,$B$38,$B$39)*100)</f>
        <v>56.61747481845866</v>
      </c>
      <c r="D32" s="236"/>
      <c r="G32" s="16"/>
    </row>
    <row r="33" spans="1:7">
      <c r="A33" s="174" t="s">
        <v>72</v>
      </c>
      <c r="B33" s="35" t="s">
        <v>111</v>
      </c>
      <c r="C33" s="170"/>
      <c r="D33" s="236"/>
      <c r="G33" s="16"/>
    </row>
    <row r="34" spans="1:7">
      <c r="A34" s="174" t="s">
        <v>73</v>
      </c>
      <c r="B34" s="34">
        <f>IF((($B$28-$B$32-$B$39-$B$77-$B$38)*C20/100)&lt;0,0,($B$28-$B$32-$B$39-$B$77-$B$38)*C20/100)</f>
        <v>577.36827586206903</v>
      </c>
      <c r="C34" s="170">
        <f>IF(ISERROR(B34/SUM($B$32,$B$34,$B$35,$B$36,$B$38,$B$39)*100),0,B34/SUM($B$32,$B$34,$B$35,$B$36,$B$38,$B$39)*100)</f>
        <v>4.5082242200520737</v>
      </c>
      <c r="D34" s="236"/>
      <c r="G34" s="16"/>
    </row>
    <row r="35" spans="1:7">
      <c r="A35" s="174" t="s">
        <v>74</v>
      </c>
      <c r="B35" s="34">
        <f>IF((($B$28-$B$32-$B$39-$B$77-$B$38)*C21/100)&lt;0,0,($B$28-$B$32-$B$39-$B$77-$B$38)*C21/100)</f>
        <v>2400.3972413793108</v>
      </c>
      <c r="C35" s="170">
        <f>IF(ISERROR(B35/SUM($B$32,$B$34,$B$35,$B$36,$B$38,$B$39)*100),0,B35/SUM($B$32,$B$34,$B$35,$B$36,$B$38,$B$39)*100)</f>
        <v>18.742853450295236</v>
      </c>
      <c r="D35" s="236"/>
      <c r="G35" s="16"/>
    </row>
    <row r="36" spans="1:7">
      <c r="A36" s="174" t="s">
        <v>75</v>
      </c>
      <c r="B36" s="34">
        <f>IF((($B$28-$B$32-$B$39-$B$77-$B$38)*C22/100)&lt;0,0,($B$28-$B$32-$B$39-$B$77-$B$38)*C22/100)</f>
        <v>318.23448275862074</v>
      </c>
      <c r="C36" s="170">
        <f>IF(ISERROR(B36/SUM($B$32,$B$34,$B$35,$B$36,$B$38,$B$39)*100),0,B36/SUM($B$32,$B$34,$B$35,$B$36,$B$38,$B$39)*100)</f>
        <v>2.4848479953042926</v>
      </c>
      <c r="D36" s="236"/>
      <c r="G36" s="16"/>
    </row>
    <row r="37" spans="1:7">
      <c r="A37" s="174" t="s">
        <v>76</v>
      </c>
      <c r="B37" s="35" t="s">
        <v>111</v>
      </c>
      <c r="C37" s="170"/>
      <c r="D37" s="176"/>
      <c r="G37" s="16"/>
    </row>
    <row r="38" spans="1:7">
      <c r="A38" s="174" t="s">
        <v>77</v>
      </c>
      <c r="B38" s="34">
        <f>IF((B24-(B29-B18)*0.1)&lt;0,0,B24-(B29-B18)*0.1)</f>
        <v>75.199999999999989</v>
      </c>
      <c r="C38" s="170">
        <f>IF(ISERROR(B38/SUM($B$32,$B$34,$B$35,$B$36,$B$38,$B$39)*100),0,B38/SUM($B$32,$B$34,$B$35,$B$36,$B$38,$B$39)*100)</f>
        <v>0.58717888654641992</v>
      </c>
      <c r="D38" s="237"/>
      <c r="G38" s="16"/>
    </row>
    <row r="39" spans="1:7">
      <c r="A39" s="174" t="s">
        <v>78</v>
      </c>
      <c r="B39" s="34">
        <f>IF((B25-(B29-B18))&lt;0,0,B25-(B29-B18)*0.9)</f>
        <v>2184.7999999999997</v>
      </c>
      <c r="C39" s="170">
        <f>IF(ISERROR(B39/SUM($B$32,$B$34,$B$35,$B$36,$B$38,$B$39)*100),0,B39/SUM($B$32,$B$34,$B$35,$B$36,$B$38,$B$39)*100)</f>
        <v>17.059420629343325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7251</v>
      </c>
      <c r="C44" s="35" t="s">
        <v>111</v>
      </c>
      <c r="D44" s="177"/>
    </row>
    <row r="45" spans="1:7">
      <c r="A45" s="174" t="s">
        <v>72</v>
      </c>
      <c r="B45" s="34" t="str">
        <f t="shared" si="0"/>
        <v>-</v>
      </c>
      <c r="C45" s="35" t="s">
        <v>111</v>
      </c>
      <c r="D45" s="177"/>
    </row>
    <row r="46" spans="1:7">
      <c r="A46" s="174" t="s">
        <v>73</v>
      </c>
      <c r="B46" s="34">
        <f t="shared" si="0"/>
        <v>577.36827586206903</v>
      </c>
      <c r="C46" s="35" t="s">
        <v>111</v>
      </c>
      <c r="D46" s="177"/>
    </row>
    <row r="47" spans="1:7">
      <c r="A47" s="174" t="s">
        <v>74</v>
      </c>
      <c r="B47" s="34">
        <f t="shared" si="0"/>
        <v>2400.3972413793108</v>
      </c>
      <c r="C47" s="35" t="s">
        <v>111</v>
      </c>
      <c r="D47" s="177"/>
    </row>
    <row r="48" spans="1:7">
      <c r="A48" s="174" t="s">
        <v>75</v>
      </c>
      <c r="B48" s="34">
        <f t="shared" si="0"/>
        <v>318.23448275862074</v>
      </c>
      <c r="C48" s="34">
        <f>B48*10</f>
        <v>3182.3448275862074</v>
      </c>
      <c r="D48" s="237"/>
    </row>
    <row r="49" spans="1:6">
      <c r="A49" s="174" t="s">
        <v>76</v>
      </c>
      <c r="B49" s="34" t="str">
        <f t="shared" si="0"/>
        <v>-</v>
      </c>
      <c r="C49" s="35" t="s">
        <v>111</v>
      </c>
      <c r="D49" s="237"/>
    </row>
    <row r="50" spans="1:6">
      <c r="A50" s="174" t="s">
        <v>77</v>
      </c>
      <c r="B50" s="34">
        <f t="shared" si="0"/>
        <v>75.199999999999989</v>
      </c>
      <c r="C50" s="34">
        <f>B50*2</f>
        <v>150.39999999999998</v>
      </c>
      <c r="D50" s="237"/>
    </row>
    <row r="51" spans="1:6">
      <c r="A51" s="174" t="s">
        <v>78</v>
      </c>
      <c r="B51" s="34">
        <f t="shared" si="0"/>
        <v>2184.7999999999997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160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59020.510297764842</v>
      </c>
      <c r="C5" s="18">
        <f>IF(ISERROR('Eigen informatie GS &amp; warmtenet'!B58),0,'Eigen informatie GS &amp; warmtenet'!B58)</f>
        <v>0</v>
      </c>
      <c r="D5" s="31">
        <f>SUM(D6:D12)</f>
        <v>116504.1597879772</v>
      </c>
      <c r="E5" s="18">
        <f>SUM(E6:E12)</f>
        <v>539.22268815379255</v>
      </c>
      <c r="F5" s="18">
        <f>SUM(F6:F12)</f>
        <v>12606.620335968109</v>
      </c>
      <c r="G5" s="19"/>
      <c r="H5" s="18"/>
      <c r="I5" s="18"/>
      <c r="J5" s="18">
        <f>SUM(J6:J12)</f>
        <v>0</v>
      </c>
      <c r="K5" s="18"/>
      <c r="L5" s="18"/>
      <c r="M5" s="18"/>
      <c r="N5" s="18">
        <f>SUM(N6:N12)</f>
        <v>3642.1874022448105</v>
      </c>
      <c r="O5" s="18">
        <f>B38*B39*B40</f>
        <v>4.6900000000000004</v>
      </c>
      <c r="P5" s="18">
        <f>B46*B47*B48/1000-B46*B47*B48/1000/B49</f>
        <v>19.066666666666666</v>
      </c>
      <c r="R5" s="33"/>
    </row>
    <row r="6" spans="1:18">
      <c r="A6" s="33" t="s">
        <v>54</v>
      </c>
      <c r="B6" s="38">
        <f>B26</f>
        <v>10782.8109310462</v>
      </c>
      <c r="C6" s="34"/>
      <c r="D6" s="38">
        <f>IF(ISERROR(TER_kantoor_gas_kWh/1000),0,TER_kantoor_gas_kWh/1000)*0.902</f>
        <v>64803.115593606723</v>
      </c>
      <c r="E6" s="34">
        <f>$C$26*'E Balans VL '!I12/100/3.6*1000000</f>
        <v>17.696778153206651</v>
      </c>
      <c r="F6" s="34">
        <f>$C$26*('E Balans VL '!L12+'E Balans VL '!N12)/100/3.6*1000000</f>
        <v>1271.0397030065155</v>
      </c>
      <c r="G6" s="35"/>
      <c r="H6" s="34"/>
      <c r="I6" s="34"/>
      <c r="J6" s="34">
        <f>$C$26*('E Balans VL '!D12+'E Balans VL '!E12)/100/3.6*1000000</f>
        <v>0</v>
      </c>
      <c r="K6" s="34"/>
      <c r="L6" s="34"/>
      <c r="M6" s="34"/>
      <c r="N6" s="34">
        <f>$C$26*'E Balans VL '!Y12/100/3.6*1000000</f>
        <v>2.1786158878279123</v>
      </c>
      <c r="O6" s="34"/>
      <c r="P6" s="34"/>
      <c r="R6" s="33"/>
    </row>
    <row r="7" spans="1:18">
      <c r="A7" s="33" t="s">
        <v>53</v>
      </c>
      <c r="B7" s="38">
        <f t="shared" ref="B7:B12" si="0">B27</f>
        <v>5639.1710710934503</v>
      </c>
      <c r="C7" s="34"/>
      <c r="D7" s="38">
        <f>IF(ISERROR(TER_horeca_gas_kWh/1000),0,TER_horeca_gas_kWh/1000)*0.902</f>
        <v>5814.8050265038837</v>
      </c>
      <c r="E7" s="34">
        <f>$C$27*'E Balans VL '!I9/100/3.6*1000000</f>
        <v>292.63217267466558</v>
      </c>
      <c r="F7" s="34">
        <f>$C$27*('E Balans VL '!L9+'E Balans VL '!N9)/100/3.6*1000000</f>
        <v>1286.8629302263344</v>
      </c>
      <c r="G7" s="35"/>
      <c r="H7" s="34"/>
      <c r="I7" s="34"/>
      <c r="J7" s="34">
        <f>$C$27*('E Balans VL '!D9+'E Balans VL '!E9)/100/3.6*1000000</f>
        <v>0</v>
      </c>
      <c r="K7" s="34"/>
      <c r="L7" s="34"/>
      <c r="M7" s="34"/>
      <c r="N7" s="34">
        <f>$C$27*'E Balans VL '!Y9/100/3.6*1000000</f>
        <v>0.59549388084458044</v>
      </c>
      <c r="O7" s="34"/>
      <c r="P7" s="34"/>
      <c r="R7" s="33"/>
    </row>
    <row r="8" spans="1:18">
      <c r="A8" s="6" t="s">
        <v>52</v>
      </c>
      <c r="B8" s="38">
        <f t="shared" si="0"/>
        <v>28726.343590025499</v>
      </c>
      <c r="C8" s="34"/>
      <c r="D8" s="38">
        <f>IF(ISERROR(TER_handel_gas_kWh/1000),0,TER_handel_gas_kWh/1000)*0.902</f>
        <v>25561.880503050714</v>
      </c>
      <c r="E8" s="34">
        <f>$C$28*'E Balans VL '!I13/100/3.6*1000000</f>
        <v>154.69489023073982</v>
      </c>
      <c r="F8" s="34">
        <f>$C$28*('E Balans VL '!L13+'E Balans VL '!N13)/100/3.6*1000000</f>
        <v>5858.1551280503982</v>
      </c>
      <c r="G8" s="35"/>
      <c r="H8" s="34"/>
      <c r="I8" s="34"/>
      <c r="J8" s="34">
        <f>$C$28*('E Balans VL '!D13+'E Balans VL '!E13)/100/3.6*1000000</f>
        <v>0</v>
      </c>
      <c r="K8" s="34"/>
      <c r="L8" s="34"/>
      <c r="M8" s="34"/>
      <c r="N8" s="34">
        <f>$C$28*'E Balans VL '!Y13/100/3.6*1000000</f>
        <v>142.84093672577472</v>
      </c>
      <c r="O8" s="34"/>
      <c r="P8" s="34"/>
      <c r="R8" s="33"/>
    </row>
    <row r="9" spans="1:18">
      <c r="A9" s="33" t="s">
        <v>51</v>
      </c>
      <c r="B9" s="38">
        <f t="shared" si="0"/>
        <v>3519.8486492703801</v>
      </c>
      <c r="C9" s="34"/>
      <c r="D9" s="38">
        <f>IF(ISERROR(TER_gezond_gas_kWh/1000),0,TER_gezond_gas_kWh/1000)*0.902</f>
        <v>4333.9187369187393</v>
      </c>
      <c r="E9" s="34">
        <f>$C$29*'E Balans VL '!I10/100/3.6*1000000</f>
        <v>3.4882100389801272</v>
      </c>
      <c r="F9" s="34">
        <f>$C$29*('E Balans VL '!L10+'E Balans VL '!N10)/100/3.6*1000000</f>
        <v>1221.286025551791</v>
      </c>
      <c r="G9" s="35"/>
      <c r="H9" s="34"/>
      <c r="I9" s="34"/>
      <c r="J9" s="34">
        <f>$C$29*('E Balans VL '!D10+'E Balans VL '!E10)/100/3.6*1000000</f>
        <v>0</v>
      </c>
      <c r="K9" s="34"/>
      <c r="L9" s="34"/>
      <c r="M9" s="34"/>
      <c r="N9" s="34">
        <f>$C$29*'E Balans VL '!Y10/100/3.6*1000000</f>
        <v>30.330230887736271</v>
      </c>
      <c r="O9" s="34"/>
      <c r="P9" s="34"/>
      <c r="R9" s="33"/>
    </row>
    <row r="10" spans="1:18">
      <c r="A10" s="33" t="s">
        <v>50</v>
      </c>
      <c r="B10" s="38">
        <f t="shared" si="0"/>
        <v>5695.5015667895404</v>
      </c>
      <c r="C10" s="34"/>
      <c r="D10" s="38">
        <f>IF(ISERROR(TER_ander_gas_kWh/1000),0,TER_ander_gas_kWh/1000)*0.902</f>
        <v>7381.9565628643541</v>
      </c>
      <c r="E10" s="34">
        <f>$C$30*'E Balans VL '!I14/100/3.6*1000000</f>
        <v>46.594895064764827</v>
      </c>
      <c r="F10" s="34">
        <f>$C$30*('E Balans VL '!L14+'E Balans VL '!N14)/100/3.6*1000000</f>
        <v>1665.13278465709</v>
      </c>
      <c r="G10" s="35"/>
      <c r="H10" s="34"/>
      <c r="I10" s="34"/>
      <c r="J10" s="34">
        <f>$C$30*('E Balans VL '!D14+'E Balans VL '!E14)/100/3.6*1000000</f>
        <v>0</v>
      </c>
      <c r="K10" s="34"/>
      <c r="L10" s="34"/>
      <c r="M10" s="34"/>
      <c r="N10" s="34">
        <f>$C$30*'E Balans VL '!Y14/100/3.6*1000000</f>
        <v>3285.5570910882207</v>
      </c>
      <c r="O10" s="34"/>
      <c r="P10" s="34"/>
      <c r="R10" s="33"/>
    </row>
    <row r="11" spans="1:18">
      <c r="A11" s="33" t="s">
        <v>55</v>
      </c>
      <c r="B11" s="38">
        <f t="shared" si="0"/>
        <v>2009.0888492978002</v>
      </c>
      <c r="C11" s="34"/>
      <c r="D11" s="38">
        <f>IF(ISERROR(TER_onderwijs_gas_kWh/1000),0,TER_onderwijs_gas_kWh/1000)*0.902</f>
        <v>4758.5865507772742</v>
      </c>
      <c r="E11" s="34">
        <f>$C$31*'E Balans VL '!I11/100/3.6*1000000</f>
        <v>1.2383175948323064</v>
      </c>
      <c r="F11" s="34">
        <f>$C$31*('E Balans VL '!L11+'E Balans VL '!N11)/100/3.6*1000000</f>
        <v>776.74628566806803</v>
      </c>
      <c r="G11" s="35"/>
      <c r="H11" s="34"/>
      <c r="I11" s="34"/>
      <c r="J11" s="34">
        <f>$C$31*('E Balans VL '!D11+'E Balans VL '!E11)/100/3.6*1000000</f>
        <v>0</v>
      </c>
      <c r="K11" s="34"/>
      <c r="L11" s="34"/>
      <c r="M11" s="34"/>
      <c r="N11" s="34">
        <f>$C$31*'E Balans VL '!Y11/100/3.6*1000000</f>
        <v>6.535135488217958</v>
      </c>
      <c r="O11" s="34"/>
      <c r="P11" s="34"/>
      <c r="R11" s="33"/>
    </row>
    <row r="12" spans="1:18">
      <c r="A12" s="33" t="s">
        <v>260</v>
      </c>
      <c r="B12" s="38">
        <f t="shared" si="0"/>
        <v>2647.7456402419698</v>
      </c>
      <c r="C12" s="34"/>
      <c r="D12" s="38">
        <f>IF(ISERROR(TER_rest_gas_kWh/1000),0,TER_rest_gas_kWh/1000)*0.902</f>
        <v>3849.8968142554986</v>
      </c>
      <c r="E12" s="34">
        <f>$C$32*'E Balans VL '!I8/100/3.6*1000000</f>
        <v>22.877424396603271</v>
      </c>
      <c r="F12" s="34">
        <f>$C$32*('E Balans VL '!L8+'E Balans VL '!N8)/100/3.6*1000000</f>
        <v>527.39747880791151</v>
      </c>
      <c r="G12" s="35"/>
      <c r="H12" s="34"/>
      <c r="I12" s="34"/>
      <c r="J12" s="34">
        <f>$C$32*('E Balans VL '!D8+'E Balans VL '!E8)/100/3.6*1000000</f>
        <v>0</v>
      </c>
      <c r="K12" s="34"/>
      <c r="L12" s="34"/>
      <c r="M12" s="34"/>
      <c r="N12" s="34">
        <f>$C$32*'E Balans VL '!Y8/100/3.6*1000000</f>
        <v>174.14989828618866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59020.510297764842</v>
      </c>
      <c r="C16" s="22">
        <f t="shared" ca="1" si="1"/>
        <v>0</v>
      </c>
      <c r="D16" s="22">
        <f t="shared" ca="1" si="1"/>
        <v>116504.1597879772</v>
      </c>
      <c r="E16" s="22">
        <f t="shared" si="1"/>
        <v>539.22268815379255</v>
      </c>
      <c r="F16" s="22">
        <f t="shared" ca="1" si="1"/>
        <v>12606.620335968109</v>
      </c>
      <c r="G16" s="22">
        <f t="shared" si="1"/>
        <v>0</v>
      </c>
      <c r="H16" s="22">
        <f t="shared" si="1"/>
        <v>0</v>
      </c>
      <c r="I16" s="22">
        <f t="shared" si="1"/>
        <v>0</v>
      </c>
      <c r="J16" s="22">
        <f t="shared" si="1"/>
        <v>0</v>
      </c>
      <c r="K16" s="22">
        <f t="shared" si="1"/>
        <v>0</v>
      </c>
      <c r="L16" s="22">
        <f t="shared" ca="1" si="1"/>
        <v>0</v>
      </c>
      <c r="M16" s="22">
        <f t="shared" si="1"/>
        <v>0</v>
      </c>
      <c r="N16" s="22">
        <f t="shared" ca="1" si="1"/>
        <v>3642.1874022448105</v>
      </c>
      <c r="O16" s="22">
        <f>O5</f>
        <v>4.6900000000000004</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0.21106703075654687</v>
      </c>
      <c r="C18" s="26">
        <f ca="1">'EF ele_warmte'!B22</f>
        <v>0.22444444444444445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12457.283862285423</v>
      </c>
      <c r="C20" s="24">
        <f t="shared" ref="C20:P20" ca="1" si="2">C16*C18</f>
        <v>0</v>
      </c>
      <c r="D20" s="24">
        <f t="shared" ca="1" si="2"/>
        <v>23533.840277171395</v>
      </c>
      <c r="E20" s="24">
        <f t="shared" si="2"/>
        <v>122.40355021091091</v>
      </c>
      <c r="F20" s="24">
        <f t="shared" ca="1" si="2"/>
        <v>3365.9676297034853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10782.8109310462</v>
      </c>
      <c r="C26" s="40">
        <f>IF(ISERROR(B26*3.6/1000000/'E Balans VL '!Z12*100),0,B26*3.6/1000000/'E Balans VL '!Z12*100)</f>
        <v>0.22912699959627475</v>
      </c>
      <c r="D26" s="240" t="s">
        <v>707</v>
      </c>
      <c r="F26" s="6"/>
    </row>
    <row r="27" spans="1:18">
      <c r="A27" s="234" t="s">
        <v>53</v>
      </c>
      <c r="B27" s="34">
        <f>IF(ISERROR(TER_horeca_ele_kWh/1000),0,TER_horeca_ele_kWh/1000)</f>
        <v>5639.1710710934503</v>
      </c>
      <c r="C27" s="40">
        <f>IF(ISERROR(B27*3.6/1000000/'E Balans VL '!Z9*100),0,B27*3.6/1000000/'E Balans VL '!Z9*100)</f>
        <v>0.44384637081583639</v>
      </c>
      <c r="D27" s="240" t="s">
        <v>707</v>
      </c>
      <c r="F27" s="6"/>
    </row>
    <row r="28" spans="1:18">
      <c r="A28" s="174" t="s">
        <v>52</v>
      </c>
      <c r="B28" s="34">
        <f>IF(ISERROR(TER_handel_ele_kWh/1000),0,TER_handel_ele_kWh/1000)</f>
        <v>28726.343590025499</v>
      </c>
      <c r="C28" s="40">
        <f>IF(ISERROR(B28*3.6/1000000/'E Balans VL '!Z13*100),0,B28*3.6/1000000/'E Balans VL '!Z13*100)</f>
        <v>0.80464025768875325</v>
      </c>
      <c r="D28" s="240" t="s">
        <v>707</v>
      </c>
      <c r="F28" s="6"/>
    </row>
    <row r="29" spans="1:18">
      <c r="A29" s="234" t="s">
        <v>51</v>
      </c>
      <c r="B29" s="34">
        <f>IF(ISERROR(TER_gezond_ele_kWh/1000),0,TER_gezond_ele_kWh/1000)</f>
        <v>3519.8486492703801</v>
      </c>
      <c r="C29" s="40">
        <f>IF(ISERROR(B29*3.6/1000000/'E Balans VL '!Z10*100),0,B29*3.6/1000000/'E Balans VL '!Z10*100)</f>
        <v>0.45029507817819292</v>
      </c>
      <c r="D29" s="240" t="s">
        <v>707</v>
      </c>
      <c r="F29" s="6"/>
    </row>
    <row r="30" spans="1:18">
      <c r="A30" s="234" t="s">
        <v>50</v>
      </c>
      <c r="B30" s="34">
        <f>IF(ISERROR(TER_ander_ele_kWh/1000),0,TER_ander_ele_kWh/1000)</f>
        <v>5695.5015667895404</v>
      </c>
      <c r="C30" s="40">
        <f>IF(ISERROR(B30*3.6/1000000/'E Balans VL '!Z14*100),0,B30*3.6/1000000/'E Balans VL '!Z14*100)</f>
        <v>0.42597552606130351</v>
      </c>
      <c r="D30" s="240" t="s">
        <v>707</v>
      </c>
      <c r="F30" s="6"/>
    </row>
    <row r="31" spans="1:18">
      <c r="A31" s="234" t="s">
        <v>55</v>
      </c>
      <c r="B31" s="34">
        <f>IF(ISERROR(TER_onderwijs_ele_kWh/1000),0,TER_onderwijs_ele_kWh/1000)</f>
        <v>2009.0888492978002</v>
      </c>
      <c r="C31" s="40">
        <f>IF(ISERROR(B31*3.6/1000000/'E Balans VL '!Z11*100),0,B31*3.6/1000000/'E Balans VL '!Z11*100)</f>
        <v>0.42422171296448935</v>
      </c>
      <c r="D31" s="240" t="s">
        <v>707</v>
      </c>
    </row>
    <row r="32" spans="1:18">
      <c r="A32" s="234" t="s">
        <v>260</v>
      </c>
      <c r="B32" s="34">
        <f>IF(ISERROR(TER_rest_ele_kWh/1000),0,TER_rest_ele_kWh/1000)</f>
        <v>2647.7456402419698</v>
      </c>
      <c r="C32" s="40">
        <f>IF(ISERROR(B32*3.6/1000000/'E Balans VL '!Z8*100),0,B32*3.6/1000000/'E Balans VL '!Z8*100)</f>
        <v>2.18119487108774E-2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3</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1</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170547.44445712026</v>
      </c>
      <c r="C5" s="18">
        <f>IF(ISERROR('Eigen informatie GS &amp; warmtenet'!B59),0,'Eigen informatie GS &amp; warmtenet'!B59)</f>
        <v>0</v>
      </c>
      <c r="D5" s="31">
        <f>SUM(D6:D15)</f>
        <v>213118.27160013706</v>
      </c>
      <c r="E5" s="18">
        <f>SUM(E6:E15)</f>
        <v>1532.210608641182</v>
      </c>
      <c r="F5" s="18">
        <f>SUM(F6:F15)</f>
        <v>45552.311705528657</v>
      </c>
      <c r="G5" s="19"/>
      <c r="H5" s="18"/>
      <c r="I5" s="18"/>
      <c r="J5" s="18">
        <f>SUM(J6:J15)</f>
        <v>682.81300972074337</v>
      </c>
      <c r="K5" s="18"/>
      <c r="L5" s="18"/>
      <c r="M5" s="18"/>
      <c r="N5" s="18">
        <f>SUM(N6:N15)</f>
        <v>6024.1138162930947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4664.3506178324797</v>
      </c>
      <c r="C8" s="34"/>
      <c r="D8" s="38">
        <f>IF( ISERROR(IND_metaal_Gas_kWH/1000),0,IND_metaal_Gas_kWH/1000)*0.902</f>
        <v>3505.5338027762295</v>
      </c>
      <c r="E8" s="34">
        <f>C30*'E Balans VL '!I18/100/3.6*1000000</f>
        <v>42.477400502993653</v>
      </c>
      <c r="F8" s="34">
        <f>C30*'E Balans VL '!L18/100/3.6*1000000+C30*'E Balans VL '!N18/100/3.6*1000000</f>
        <v>615.19242480512571</v>
      </c>
      <c r="G8" s="35"/>
      <c r="H8" s="34"/>
      <c r="I8" s="34"/>
      <c r="J8" s="41">
        <f>C30*'E Balans VL '!D18/100/3.6*1000000+C30*'E Balans VL '!E18/100/3.6*1000000</f>
        <v>76.488577739222166</v>
      </c>
      <c r="K8" s="34"/>
      <c r="L8" s="34"/>
      <c r="M8" s="34"/>
      <c r="N8" s="34">
        <f>C30*'E Balans VL '!Y18/100/3.6*1000000</f>
        <v>16.02952016496037</v>
      </c>
      <c r="O8" s="34"/>
      <c r="P8" s="34"/>
      <c r="R8" s="33"/>
    </row>
    <row r="9" spans="1:18">
      <c r="A9" s="6" t="s">
        <v>33</v>
      </c>
      <c r="B9" s="38">
        <f t="shared" si="0"/>
        <v>24530.657022330102</v>
      </c>
      <c r="C9" s="34"/>
      <c r="D9" s="38">
        <f>IF( ISERROR(IND_andere_gas_kWh/1000),0,IND_andere_gas_kWh/1000)*0.902</f>
        <v>79104.506314415383</v>
      </c>
      <c r="E9" s="34">
        <f>C31*'E Balans VL '!I19/100/3.6*1000000</f>
        <v>141.79086339255048</v>
      </c>
      <c r="F9" s="34">
        <f>C31*'E Balans VL '!L19/100/3.6*1000000+C31*'E Balans VL '!N19/100/3.6*1000000</f>
        <v>19515.318029770617</v>
      </c>
      <c r="G9" s="35"/>
      <c r="H9" s="34"/>
      <c r="I9" s="34"/>
      <c r="J9" s="41">
        <f>C31*'E Balans VL '!D19/100/3.6*1000000+C31*'E Balans VL '!E19/100/3.6*1000000</f>
        <v>2.3203276754918591</v>
      </c>
      <c r="K9" s="34"/>
      <c r="L9" s="34"/>
      <c r="M9" s="34"/>
      <c r="N9" s="34">
        <f>C31*'E Balans VL '!Y19/100/3.6*1000000</f>
        <v>1858.5684994112808</v>
      </c>
      <c r="O9" s="34"/>
      <c r="P9" s="34"/>
      <c r="R9" s="33"/>
    </row>
    <row r="10" spans="1:18">
      <c r="A10" s="6" t="s">
        <v>41</v>
      </c>
      <c r="B10" s="38">
        <f t="shared" si="0"/>
        <v>8310.543862240711</v>
      </c>
      <c r="C10" s="34"/>
      <c r="D10" s="38">
        <f>IF( ISERROR(IND_voed_gas_kWh/1000),0,IND_voed_gas_kWh/1000)*0.902</f>
        <v>17663.20693140716</v>
      </c>
      <c r="E10" s="34">
        <f>C32*'E Balans VL '!I20/100/3.6*1000000</f>
        <v>81.714387806077326</v>
      </c>
      <c r="F10" s="34">
        <f>C32*'E Balans VL '!L20/100/3.6*1000000+C32*'E Balans VL '!N20/100/3.6*1000000</f>
        <v>922.99437047556535</v>
      </c>
      <c r="G10" s="35"/>
      <c r="H10" s="34"/>
      <c r="I10" s="34"/>
      <c r="J10" s="41">
        <f>C32*'E Balans VL '!D20/100/3.6*1000000+C32*'E Balans VL '!E20/100/3.6*1000000</f>
        <v>3.2755626120988438E-2</v>
      </c>
      <c r="K10" s="34"/>
      <c r="L10" s="34"/>
      <c r="M10" s="34"/>
      <c r="N10" s="34">
        <f>C32*'E Balans VL '!Y20/100/3.6*1000000</f>
        <v>123.05960614006223</v>
      </c>
      <c r="O10" s="34"/>
      <c r="P10" s="34"/>
      <c r="R10" s="33"/>
    </row>
    <row r="11" spans="1:18">
      <c r="A11" s="6" t="s">
        <v>40</v>
      </c>
      <c r="B11" s="38">
        <f t="shared" si="0"/>
        <v>14082.8899447474</v>
      </c>
      <c r="C11" s="34"/>
      <c r="D11" s="38">
        <f>IF( ISERROR(IND_textiel_gas_kWh/1000),0,IND_textiel_gas_kWh/1000)*0.902</f>
        <v>66.639637082752969</v>
      </c>
      <c r="E11" s="34">
        <f>C33*'E Balans VL '!I21/100/3.6*1000000</f>
        <v>27.42265686588032</v>
      </c>
      <c r="F11" s="34">
        <f>C33*'E Balans VL '!L21/100/3.6*1000000+C33*'E Balans VL '!N21/100/3.6*1000000</f>
        <v>464.49992343157226</v>
      </c>
      <c r="G11" s="35"/>
      <c r="H11" s="34"/>
      <c r="I11" s="34"/>
      <c r="J11" s="41">
        <f>C33*'E Balans VL '!D21/100/3.6*1000000+C33*'E Balans VL '!E21/100/3.6*1000000</f>
        <v>0</v>
      </c>
      <c r="K11" s="34"/>
      <c r="L11" s="34"/>
      <c r="M11" s="34"/>
      <c r="N11" s="34">
        <f>C33*'E Balans VL '!Y21/100/3.6*1000000</f>
        <v>146.07660922439342</v>
      </c>
      <c r="O11" s="34"/>
      <c r="P11" s="34"/>
      <c r="R11" s="33"/>
    </row>
    <row r="12" spans="1:18">
      <c r="A12" s="6" t="s">
        <v>37</v>
      </c>
      <c r="B12" s="38">
        <f t="shared" si="0"/>
        <v>8197.8563214468304</v>
      </c>
      <c r="C12" s="34"/>
      <c r="D12" s="38">
        <f>IF( ISERROR(IND_min_gas_kWh/1000),0,IND_min_gas_kWh/1000)*0.902</f>
        <v>567.14496369469532</v>
      </c>
      <c r="E12" s="34">
        <f>C34*'E Balans VL '!I22/100/3.6*1000000</f>
        <v>207.83024579365031</v>
      </c>
      <c r="F12" s="34">
        <f>C34*'E Balans VL '!L22/100/3.6*1000000+C34*'E Balans VL '!N22/100/3.6*1000000</f>
        <v>2268.3754185126222</v>
      </c>
      <c r="G12" s="35"/>
      <c r="H12" s="34"/>
      <c r="I12" s="34"/>
      <c r="J12" s="41">
        <f>C34*'E Balans VL '!D22/100/3.6*1000000+C34*'E Balans VL '!E22/100/3.6*1000000</f>
        <v>54.140290513668916</v>
      </c>
      <c r="K12" s="34"/>
      <c r="L12" s="34"/>
      <c r="M12" s="34"/>
      <c r="N12" s="34">
        <f>C34*'E Balans VL '!Y22/100/3.6*1000000</f>
        <v>0</v>
      </c>
      <c r="O12" s="34"/>
      <c r="P12" s="34"/>
      <c r="R12" s="33"/>
    </row>
    <row r="13" spans="1:18">
      <c r="A13" s="6" t="s">
        <v>39</v>
      </c>
      <c r="B13" s="38">
        <f t="shared" si="0"/>
        <v>1424.0694128187301</v>
      </c>
      <c r="C13" s="34"/>
      <c r="D13" s="38">
        <f>IF( ISERROR(IND_papier_gas_kWh/1000),0,IND_papier_gas_kWh/1000)*0.902</f>
        <v>503.28327684026573</v>
      </c>
      <c r="E13" s="34">
        <f>C35*'E Balans VL '!I23/100/3.6*1000000</f>
        <v>48.505868967762169</v>
      </c>
      <c r="F13" s="34">
        <f>C35*'E Balans VL '!L23/100/3.6*1000000+C35*'E Balans VL '!N23/100/3.6*1000000</f>
        <v>235.22284480796705</v>
      </c>
      <c r="G13" s="35"/>
      <c r="H13" s="34"/>
      <c r="I13" s="34"/>
      <c r="J13" s="41">
        <f>C35*'E Balans VL '!D23/100/3.6*1000000+C35*'E Balans VL '!E23/100/3.6*1000000</f>
        <v>0</v>
      </c>
      <c r="K13" s="34"/>
      <c r="L13" s="34"/>
      <c r="M13" s="34"/>
      <c r="N13" s="34">
        <f>C35*'E Balans VL '!Y23/100/3.6*1000000</f>
        <v>524.01935333617678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109337.077275704</v>
      </c>
      <c r="C15" s="34"/>
      <c r="D15" s="38">
        <f>IF( ISERROR(IND_rest_gas_kWh/1000),0,IND_rest_gas_kWh/1000)*0.902</f>
        <v>111707.95667392056</v>
      </c>
      <c r="E15" s="34">
        <f>C37*'E Balans VL '!I15/100/3.6*1000000</f>
        <v>982.46918531226788</v>
      </c>
      <c r="F15" s="34">
        <f>C37*'E Balans VL '!L15/100/3.6*1000000+C37*'E Balans VL '!N15/100/3.6*1000000</f>
        <v>21530.708693725192</v>
      </c>
      <c r="G15" s="35"/>
      <c r="H15" s="34"/>
      <c r="I15" s="34"/>
      <c r="J15" s="41">
        <f>C37*'E Balans VL '!D15/100/3.6*1000000+C37*'E Balans VL '!E15/100/3.6*1000000</f>
        <v>549.83105816623947</v>
      </c>
      <c r="K15" s="34"/>
      <c r="L15" s="34"/>
      <c r="M15" s="34"/>
      <c r="N15" s="34">
        <f>C37*'E Balans VL '!Y15/100/3.6*1000000</f>
        <v>3356.3602280162213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170547.44445712026</v>
      </c>
      <c r="C18" s="22">
        <f>C5+C16</f>
        <v>0</v>
      </c>
      <c r="D18" s="22">
        <f>MAX((D5+D16),0)</f>
        <v>213118.27160013706</v>
      </c>
      <c r="E18" s="22">
        <f>MAX((E5+E16),0)</f>
        <v>1532.210608641182</v>
      </c>
      <c r="F18" s="22">
        <f>MAX((F5+F16),0)</f>
        <v>45552.311705528657</v>
      </c>
      <c r="G18" s="22"/>
      <c r="H18" s="22"/>
      <c r="I18" s="22"/>
      <c r="J18" s="22">
        <f>MAX((J5+J16),0)</f>
        <v>682.81300972074337</v>
      </c>
      <c r="K18" s="22"/>
      <c r="L18" s="22">
        <f>MAX((L5+L16),0)</f>
        <v>0</v>
      </c>
      <c r="M18" s="22"/>
      <c r="N18" s="22">
        <f>MAX((N5+N16),0)</f>
        <v>6024.1138162930947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0.21106703075654687</v>
      </c>
      <c r="C20" s="26">
        <f ca="1">'EF ele_warmte'!B22</f>
        <v>0.22444444444444445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35996.942704681474</v>
      </c>
      <c r="C22" s="24">
        <f ca="1">C18*C20</f>
        <v>0</v>
      </c>
      <c r="D22" s="24">
        <f>D18*D20</f>
        <v>43049.890863227687</v>
      </c>
      <c r="E22" s="24">
        <f>E18*E20</f>
        <v>347.81180816154836</v>
      </c>
      <c r="F22" s="24">
        <f>F18*F20</f>
        <v>12162.467225376153</v>
      </c>
      <c r="G22" s="24"/>
      <c r="H22" s="24"/>
      <c r="I22" s="24"/>
      <c r="J22" s="24">
        <f>J18*J20</f>
        <v>241.71580544114315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4664.3506178324797</v>
      </c>
      <c r="C30" s="40">
        <f>IF(ISERROR(B30*3.6/1000000/'E Balans VL '!Z18*100),0,B30*3.6/1000000/'E Balans VL '!Z18*100)</f>
        <v>0.25953992163740025</v>
      </c>
      <c r="D30" s="240" t="s">
        <v>707</v>
      </c>
    </row>
    <row r="31" spans="1:18">
      <c r="A31" s="6" t="s">
        <v>33</v>
      </c>
      <c r="B31" s="38">
        <f>IF( ISERROR(IND_ander_ele_kWh/1000),0,IND_ander_ele_kWh/1000)</f>
        <v>24530.657022330102</v>
      </c>
      <c r="C31" s="40">
        <f>IF(ISERROR(B31*3.6/1000000/'E Balans VL '!Z19*100),0,B31*3.6/1000000/'E Balans VL '!Z19*100)</f>
        <v>1.1403658200369546</v>
      </c>
      <c r="D31" s="240" t="s">
        <v>707</v>
      </c>
    </row>
    <row r="32" spans="1:18">
      <c r="A32" s="174" t="s">
        <v>41</v>
      </c>
      <c r="B32" s="38">
        <f>IF( ISERROR(IND_voed_ele_kWh/1000),0,IND_voed_ele_kWh/1000)</f>
        <v>8310.543862240711</v>
      </c>
      <c r="C32" s="40">
        <f>IF(ISERROR(B32*3.6/1000000/'E Balans VL '!Z20*100),0,B32*3.6/1000000/'E Balans VL '!Z20*100)</f>
        <v>0.29376094167607575</v>
      </c>
      <c r="D32" s="240" t="s">
        <v>707</v>
      </c>
    </row>
    <row r="33" spans="1:5">
      <c r="A33" s="174" t="s">
        <v>40</v>
      </c>
      <c r="B33" s="38">
        <f>IF( ISERROR(IND_textiel_ele_kWh/1000),0,IND_textiel_ele_kWh/1000)</f>
        <v>14082.8899447474</v>
      </c>
      <c r="C33" s="40">
        <f>IF(ISERROR(B33*3.6/1000000/'E Balans VL '!Z21*100),0,B33*3.6/1000000/'E Balans VL '!Z21*100)</f>
        <v>1.9021079799175906</v>
      </c>
      <c r="D33" s="240" t="s">
        <v>707</v>
      </c>
    </row>
    <row r="34" spans="1:5">
      <c r="A34" s="174" t="s">
        <v>37</v>
      </c>
      <c r="B34" s="38">
        <f>IF( ISERROR(IND_min_ele_kWh/1000),0,IND_min_ele_kWh/1000)</f>
        <v>8197.8563214468304</v>
      </c>
      <c r="C34" s="40">
        <f>IF(ISERROR(B34*3.6/1000000/'E Balans VL '!Z22*100),0,B34*3.6/1000000/'E Balans VL '!Z22*100)</f>
        <v>1.6475379488724775</v>
      </c>
      <c r="D34" s="240" t="s">
        <v>707</v>
      </c>
    </row>
    <row r="35" spans="1:5">
      <c r="A35" s="174" t="s">
        <v>39</v>
      </c>
      <c r="B35" s="38">
        <f>IF( ISERROR(IND_papier_ele_kWh/1000),0,IND_papier_ele_kWh/1000)</f>
        <v>1424.0694128187301</v>
      </c>
      <c r="C35" s="40">
        <f>IF(ISERROR(B35*3.6/1000000/'E Balans VL '!Z22*100),0,B35*3.6/1000000/'E Balans VL '!Z22*100)</f>
        <v>0.28619779457580496</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109337.077275704</v>
      </c>
      <c r="C37" s="40">
        <f>IF(ISERROR(B37*3.6/1000000/'E Balans VL '!Z15*100),0,B37*3.6/1000000/'E Balans VL '!Z15*100)</f>
        <v>0.8256564487182303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1930.9138283782229</v>
      </c>
      <c r="C5" s="18">
        <f>'Eigen informatie GS &amp; warmtenet'!B60</f>
        <v>0</v>
      </c>
      <c r="D5" s="31">
        <f>IF(ISERROR(SUM(LB_lb_gas_kWh,LB_rest_gas_kWh)/1000),0,SUM(LB_lb_gas_kWh,LB_rest_gas_kWh)/1000)*0.902</f>
        <v>422.82268182114694</v>
      </c>
      <c r="E5" s="18">
        <f>B17*'E Balans VL '!I25/3.6*1000000/100</f>
        <v>18.190502018027033</v>
      </c>
      <c r="F5" s="18">
        <f>B17*('E Balans VL '!L25/3.6*1000000+'E Balans VL '!N25/3.6*1000000)/100</f>
        <v>6301.2126360194025</v>
      </c>
      <c r="G5" s="19"/>
      <c r="H5" s="18"/>
      <c r="I5" s="18"/>
      <c r="J5" s="18">
        <f>('E Balans VL '!D25+'E Balans VL '!E25)/3.6*1000000*landbouw!B17/100</f>
        <v>238.8634325334433</v>
      </c>
      <c r="K5" s="18"/>
      <c r="L5" s="18">
        <f>L6*(-1)</f>
        <v>0</v>
      </c>
      <c r="M5" s="18"/>
      <c r="N5" s="18">
        <f>N6*(-1)</f>
        <v>0</v>
      </c>
      <c r="O5" s="18"/>
      <c r="P5" s="18"/>
      <c r="R5" s="33"/>
    </row>
    <row r="6" spans="1:18">
      <c r="A6" s="17" t="s">
        <v>502</v>
      </c>
      <c r="B6" s="18" t="s">
        <v>211</v>
      </c>
      <c r="C6" s="18">
        <f>'lokale energieproductie'!O92+'lokale energieproductie'!O61</f>
        <v>8.4375</v>
      </c>
      <c r="D6" s="312">
        <f>('lokale energieproductie'!P61+'lokale energieproductie'!P92)*(-1)</f>
        <v>-11.25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1930.9138283782229</v>
      </c>
      <c r="C8" s="22">
        <f>C5+C6</f>
        <v>8.4375</v>
      </c>
      <c r="D8" s="22">
        <f>MAX((D5+D6),0)</f>
        <v>411.57268182114694</v>
      </c>
      <c r="E8" s="22">
        <f>MAX((E5+E6),0)</f>
        <v>18.190502018027033</v>
      </c>
      <c r="F8" s="22">
        <f>MAX((F5+F6),0)</f>
        <v>6301.2126360194025</v>
      </c>
      <c r="G8" s="22"/>
      <c r="H8" s="22"/>
      <c r="I8" s="22"/>
      <c r="J8" s="22">
        <f>MAX((J5+J6),0)</f>
        <v>238.8634325334433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0.21106703075654687</v>
      </c>
      <c r="C10" s="32">
        <f ca="1">'EF ele_warmte'!B22</f>
        <v>0.22444444444444445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407.55224840254806</v>
      </c>
      <c r="C12" s="24">
        <f ca="1">C8*C10</f>
        <v>1.89375</v>
      </c>
      <c r="D12" s="24">
        <f>D8*D10</f>
        <v>83.137681727871694</v>
      </c>
      <c r="E12" s="24">
        <f>E8*E10</f>
        <v>4.129243958092137</v>
      </c>
      <c r="F12" s="24">
        <f>F8*F10</f>
        <v>1682.4237738171805</v>
      </c>
      <c r="G12" s="24"/>
      <c r="H12" s="24"/>
      <c r="I12" s="24"/>
      <c r="J12" s="24">
        <f>J8*J10</f>
        <v>84.55765511683893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0.26141487734577529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363.11165923737946</v>
      </c>
      <c r="C26" s="250">
        <f>B26*'GWP N2O_CH4'!B5</f>
        <v>7625.344843984969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95.65585551711537</v>
      </c>
      <c r="C27" s="250">
        <f>B27*'GWP N2O_CH4'!B5</f>
        <v>2008.7729658594228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5.0697584422111373</v>
      </c>
      <c r="C28" s="250">
        <f>B28*'GWP N2O_CH4'!B4</f>
        <v>1571.6251170854525</v>
      </c>
      <c r="D28" s="51"/>
    </row>
    <row r="29" spans="1:4">
      <c r="A29" s="42" t="s">
        <v>277</v>
      </c>
      <c r="B29" s="250">
        <f>B34*'ha_N2O bodem landbouw'!B4</f>
        <v>20.919778891754792</v>
      </c>
      <c r="C29" s="250">
        <f>B29*'GWP N2O_CH4'!B4</f>
        <v>6485.1314564439854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5.6476817405520822E-3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1.4058517072662981E-5</v>
      </c>
      <c r="C5" s="447" t="s">
        <v>211</v>
      </c>
      <c r="D5" s="432">
        <f>SUM(D6:D11)</f>
        <v>3.9054294741934834E-5</v>
      </c>
      <c r="E5" s="432">
        <f>SUM(E6:E11)</f>
        <v>2.262692970743625E-3</v>
      </c>
      <c r="F5" s="445" t="s">
        <v>211</v>
      </c>
      <c r="G5" s="432">
        <f>SUM(G6:G11)</f>
        <v>0.48488162993235795</v>
      </c>
      <c r="H5" s="432">
        <f>SUM(H6:H11)</f>
        <v>8.6751586098616509E-2</v>
      </c>
      <c r="I5" s="447" t="s">
        <v>211</v>
      </c>
      <c r="J5" s="447" t="s">
        <v>211</v>
      </c>
      <c r="K5" s="447" t="s">
        <v>211</v>
      </c>
      <c r="L5" s="447" t="s">
        <v>211</v>
      </c>
      <c r="M5" s="432">
        <f>SUM(M6:M11)</f>
        <v>2.5560230438236978E-2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1.1623115104436423E-5</v>
      </c>
      <c r="C6" s="433"/>
      <c r="D6" s="433">
        <f>vkm_2011_GW_PW*SUMIFS(TableVerdeelsleutelVkm[CNG],TableVerdeelsleutelVkm[Voertuigtype],"Lichte voertuigen")*SUMIFS(TableECFTransport[EnergieConsumptieFactor (PJ per km)],TableECFTransport[Index],CONCATENATE($A6,"_CNG_CNG"))</f>
        <v>2.8383841738579655E-5</v>
      </c>
      <c r="E6" s="435">
        <f>vkm_2011_GW_PW*SUMIFS(TableVerdeelsleutelVkm[LPG],TableVerdeelsleutelVkm[Voertuigtype],"Lichte voertuigen")*SUMIFS(TableECFTransport[EnergieConsumptieFactor (PJ per km)],TableECFTransport[Index],CONCATENATE($A6,"_LPG_LPG"))</f>
        <v>1.6824474545136228E-3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0.24321757098084865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6.3740337842702513E-2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1.37461404547797E-2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0.15507250724003149</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6.2565710902467341E-5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6.9084322184456122E-3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2.435401968226558E-6</v>
      </c>
      <c r="C8" s="433"/>
      <c r="D8" s="435">
        <f>vkm_2011_NGW_PW*SUMIFS(TableVerdeelsleutelVkm[CNG],TableVerdeelsleutelVkm[Voertuigtype],"Lichte voertuigen")*SUMIFS(TableECFTransport[EnergieConsumptieFactor (PJ per km)],TableECFTransport[Index],CONCATENATE($A8,"_CNG_CNG"))</f>
        <v>1.0670453003355177E-5</v>
      </c>
      <c r="E8" s="435">
        <f>vkm_2011_NGW_PW*SUMIFS(TableVerdeelsleutelVkm[LPG],TableVerdeelsleutelVkm[Voertuigtype],"Lichte voertuigen")*SUMIFS(TableECFTransport[EnergieConsumptieFactor (PJ per km)],TableECFTransport[Index],CONCATENATE($A8,"_LPG_LPG"))</f>
        <v>5.8024551623000228E-4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7.9241416617563773E-2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2.2946100503353092E-2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4.5782290590224775E-3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7.3501350939140439E-3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2.5820416584440927E-6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3.274287059891886E-4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3.9051436312952728</v>
      </c>
      <c r="C14" s="22"/>
      <c r="D14" s="22">
        <f t="shared" ref="D14:M14" si="0">((D5)*10^9/3600)+D12</f>
        <v>10.84841520609301</v>
      </c>
      <c r="E14" s="22">
        <f t="shared" si="0"/>
        <v>628.52582520656244</v>
      </c>
      <c r="F14" s="22"/>
      <c r="G14" s="22">
        <f t="shared" si="0"/>
        <v>134689.34164787721</v>
      </c>
      <c r="H14" s="22">
        <f t="shared" si="0"/>
        <v>24097.662805171254</v>
      </c>
      <c r="I14" s="22"/>
      <c r="J14" s="22"/>
      <c r="K14" s="22"/>
      <c r="L14" s="22"/>
      <c r="M14" s="22">
        <f t="shared" si="0"/>
        <v>7100.0640106213832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0.21106703075654687</v>
      </c>
      <c r="C16" s="57">
        <f ca="1">'EF ele_warmte'!B22</f>
        <v>0.22444444444444445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0.82424707093533245</v>
      </c>
      <c r="C18" s="24"/>
      <c r="D18" s="24">
        <f t="shared" ref="D18:M18" si="1">D14*D16</f>
        <v>2.1913798716307884</v>
      </c>
      <c r="E18" s="24">
        <f t="shared" si="1"/>
        <v>142.67536232188968</v>
      </c>
      <c r="F18" s="24"/>
      <c r="G18" s="24">
        <f t="shared" si="1"/>
        <v>35962.05421998322</v>
      </c>
      <c r="H18" s="24">
        <f t="shared" si="1"/>
        <v>6000.3180384876423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9.5704775257402508E-3</v>
      </c>
      <c r="H50" s="323">
        <f t="shared" si="2"/>
        <v>0</v>
      </c>
      <c r="I50" s="323">
        <f t="shared" si="2"/>
        <v>0</v>
      </c>
      <c r="J50" s="323">
        <f t="shared" si="2"/>
        <v>0</v>
      </c>
      <c r="K50" s="323">
        <f t="shared" si="2"/>
        <v>0</v>
      </c>
      <c r="L50" s="323">
        <f t="shared" si="2"/>
        <v>0</v>
      </c>
      <c r="M50" s="323">
        <f t="shared" si="2"/>
        <v>4.202554556454578E-4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9.5704775257402508E-3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4.202554556454578E-4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2658.4659793722917</v>
      </c>
      <c r="H54" s="22">
        <f t="shared" si="3"/>
        <v>0</v>
      </c>
      <c r="I54" s="22">
        <f t="shared" si="3"/>
        <v>0</v>
      </c>
      <c r="J54" s="22">
        <f t="shared" si="3"/>
        <v>0</v>
      </c>
      <c r="K54" s="22">
        <f t="shared" si="3"/>
        <v>0</v>
      </c>
      <c r="L54" s="22">
        <f t="shared" si="3"/>
        <v>0</v>
      </c>
      <c r="M54" s="22">
        <f t="shared" si="3"/>
        <v>116.73762656818272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0.21106703075654687</v>
      </c>
      <c r="C56" s="57">
        <f ca="1">'EF ele_warmte'!B22</f>
        <v>0.22444444444444445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709.81041649240194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61445.059297764841</v>
      </c>
      <c r="D10" s="688">
        <f ca="1">tertiair!C16</f>
        <v>0</v>
      </c>
      <c r="E10" s="688">
        <f ca="1">tertiair!D16</f>
        <v>116504.1597879772</v>
      </c>
      <c r="F10" s="688">
        <f>tertiair!E16</f>
        <v>539.22268815379255</v>
      </c>
      <c r="G10" s="688">
        <f ca="1">tertiair!F16</f>
        <v>12606.620335968109</v>
      </c>
      <c r="H10" s="688">
        <f>tertiair!G16</f>
        <v>0</v>
      </c>
      <c r="I10" s="688">
        <f>tertiair!H16</f>
        <v>0</v>
      </c>
      <c r="J10" s="688">
        <f>tertiair!I16</f>
        <v>0</v>
      </c>
      <c r="K10" s="688">
        <f>tertiair!J16</f>
        <v>0</v>
      </c>
      <c r="L10" s="688">
        <f>tertiair!K16</f>
        <v>0</v>
      </c>
      <c r="M10" s="688">
        <f ca="1">tertiair!L16</f>
        <v>0</v>
      </c>
      <c r="N10" s="688">
        <f>tertiair!M16</f>
        <v>0</v>
      </c>
      <c r="O10" s="688">
        <f ca="1">tertiair!N16</f>
        <v>3642.1874022448105</v>
      </c>
      <c r="P10" s="688">
        <f>tertiair!O16</f>
        <v>4.6900000000000004</v>
      </c>
      <c r="Q10" s="689">
        <f>tertiair!P16</f>
        <v>19.066666666666666</v>
      </c>
      <c r="R10" s="691">
        <f ca="1">SUM(C10:Q10)</f>
        <v>194761.00617877545</v>
      </c>
      <c r="S10" s="68"/>
    </row>
    <row r="11" spans="1:19" s="457" customFormat="1">
      <c r="A11" s="803" t="s">
        <v>225</v>
      </c>
      <c r="B11" s="808"/>
      <c r="C11" s="688">
        <f>huishoudens!B8</f>
        <v>56070.99792368347</v>
      </c>
      <c r="D11" s="688">
        <f>huishoudens!C8</f>
        <v>0</v>
      </c>
      <c r="E11" s="688">
        <f>huishoudens!D8</f>
        <v>109148.86570258132</v>
      </c>
      <c r="F11" s="688">
        <f>huishoudens!E8</f>
        <v>12723.135598752957</v>
      </c>
      <c r="G11" s="688">
        <f>huishoudens!F8</f>
        <v>43127.699195999092</v>
      </c>
      <c r="H11" s="688">
        <f>huishoudens!G8</f>
        <v>0</v>
      </c>
      <c r="I11" s="688">
        <f>huishoudens!H8</f>
        <v>0</v>
      </c>
      <c r="J11" s="688">
        <f>huishoudens!I8</f>
        <v>0</v>
      </c>
      <c r="K11" s="688">
        <f>huishoudens!J8</f>
        <v>2373.0878153775579</v>
      </c>
      <c r="L11" s="688">
        <f>huishoudens!K8</f>
        <v>0</v>
      </c>
      <c r="M11" s="688">
        <f>huishoudens!L8</f>
        <v>0</v>
      </c>
      <c r="N11" s="688">
        <f>huishoudens!M8</f>
        <v>0</v>
      </c>
      <c r="O11" s="688">
        <f>huishoudens!N8</f>
        <v>22774.209390752254</v>
      </c>
      <c r="P11" s="688">
        <f>huishoudens!O8</f>
        <v>250.13333333333333</v>
      </c>
      <c r="Q11" s="689">
        <f>huishoudens!P8</f>
        <v>533.86666666666667</v>
      </c>
      <c r="R11" s="691">
        <f>SUM(C11:Q11)</f>
        <v>247001.99562714668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170547.44445712026</v>
      </c>
      <c r="D13" s="688">
        <f>industrie!C18</f>
        <v>0</v>
      </c>
      <c r="E13" s="688">
        <f>industrie!D18</f>
        <v>213118.27160013706</v>
      </c>
      <c r="F13" s="688">
        <f>industrie!E18</f>
        <v>1532.210608641182</v>
      </c>
      <c r="G13" s="688">
        <f>industrie!F18</f>
        <v>45552.311705528657</v>
      </c>
      <c r="H13" s="688">
        <f>industrie!G18</f>
        <v>0</v>
      </c>
      <c r="I13" s="688">
        <f>industrie!H18</f>
        <v>0</v>
      </c>
      <c r="J13" s="688">
        <f>industrie!I18</f>
        <v>0</v>
      </c>
      <c r="K13" s="688">
        <f>industrie!J18</f>
        <v>682.81300972074337</v>
      </c>
      <c r="L13" s="688">
        <f>industrie!K18</f>
        <v>0</v>
      </c>
      <c r="M13" s="688">
        <f>industrie!L18</f>
        <v>0</v>
      </c>
      <c r="N13" s="688">
        <f>industrie!M18</f>
        <v>0</v>
      </c>
      <c r="O13" s="688">
        <f>industrie!N18</f>
        <v>6024.1138162930947</v>
      </c>
      <c r="P13" s="688">
        <f>industrie!O18</f>
        <v>0</v>
      </c>
      <c r="Q13" s="689">
        <f>industrie!P18</f>
        <v>0</v>
      </c>
      <c r="R13" s="691">
        <f>SUM(C13:Q13)</f>
        <v>437457.16519744101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288063.50167856854</v>
      </c>
      <c r="D16" s="721">
        <f t="shared" ref="D16:R16" ca="1" si="0">SUM(D9:D15)</f>
        <v>0</v>
      </c>
      <c r="E16" s="721">
        <f t="shared" ca="1" si="0"/>
        <v>438771.29709069559</v>
      </c>
      <c r="F16" s="721">
        <f t="shared" si="0"/>
        <v>14794.568895547931</v>
      </c>
      <c r="G16" s="721">
        <f t="shared" ca="1" si="0"/>
        <v>101286.63123749587</v>
      </c>
      <c r="H16" s="721">
        <f t="shared" si="0"/>
        <v>0</v>
      </c>
      <c r="I16" s="721">
        <f t="shared" si="0"/>
        <v>0</v>
      </c>
      <c r="J16" s="721">
        <f t="shared" si="0"/>
        <v>0</v>
      </c>
      <c r="K16" s="721">
        <f t="shared" si="0"/>
        <v>3055.9008250983015</v>
      </c>
      <c r="L16" s="721">
        <f t="shared" si="0"/>
        <v>0</v>
      </c>
      <c r="M16" s="721">
        <f t="shared" ca="1" si="0"/>
        <v>0</v>
      </c>
      <c r="N16" s="721">
        <f t="shared" si="0"/>
        <v>0</v>
      </c>
      <c r="O16" s="721">
        <f t="shared" ca="1" si="0"/>
        <v>32440.510609290159</v>
      </c>
      <c r="P16" s="721">
        <f t="shared" si="0"/>
        <v>254.82333333333332</v>
      </c>
      <c r="Q16" s="721">
        <f t="shared" si="0"/>
        <v>552.93333333333339</v>
      </c>
      <c r="R16" s="721">
        <f t="shared" ca="1" si="0"/>
        <v>879220.16700336314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2658.4659793722917</v>
      </c>
      <c r="I19" s="688">
        <f>transport!H54</f>
        <v>0</v>
      </c>
      <c r="J19" s="688">
        <f>transport!I54</f>
        <v>0</v>
      </c>
      <c r="K19" s="688">
        <f>transport!J54</f>
        <v>0</v>
      </c>
      <c r="L19" s="688">
        <f>transport!K54</f>
        <v>0</v>
      </c>
      <c r="M19" s="688">
        <f>transport!L54</f>
        <v>0</v>
      </c>
      <c r="N19" s="688">
        <f>transport!M54</f>
        <v>116.73762656818272</v>
      </c>
      <c r="O19" s="688">
        <f>transport!N54</f>
        <v>0</v>
      </c>
      <c r="P19" s="688">
        <f>transport!O54</f>
        <v>0</v>
      </c>
      <c r="Q19" s="689">
        <f>transport!P54</f>
        <v>0</v>
      </c>
      <c r="R19" s="691">
        <f>SUM(C19:Q19)</f>
        <v>2775.2036059404745</v>
      </c>
      <c r="S19" s="68"/>
    </row>
    <row r="20" spans="1:19" s="457" customFormat="1">
      <c r="A20" s="803" t="s">
        <v>307</v>
      </c>
      <c r="B20" s="808"/>
      <c r="C20" s="688">
        <f>transport!B14</f>
        <v>3.9051436312952728</v>
      </c>
      <c r="D20" s="688">
        <f>transport!C14</f>
        <v>0</v>
      </c>
      <c r="E20" s="688">
        <f>transport!D14</f>
        <v>10.84841520609301</v>
      </c>
      <c r="F20" s="688">
        <f>transport!E14</f>
        <v>628.52582520656244</v>
      </c>
      <c r="G20" s="688">
        <f>transport!F14</f>
        <v>0</v>
      </c>
      <c r="H20" s="688">
        <f>transport!G14</f>
        <v>134689.34164787721</v>
      </c>
      <c r="I20" s="688">
        <f>transport!H14</f>
        <v>24097.662805171254</v>
      </c>
      <c r="J20" s="688">
        <f>transport!I14</f>
        <v>0</v>
      </c>
      <c r="K20" s="688">
        <f>transport!J14</f>
        <v>0</v>
      </c>
      <c r="L20" s="688">
        <f>transport!K14</f>
        <v>0</v>
      </c>
      <c r="M20" s="688">
        <f>transport!L14</f>
        <v>0</v>
      </c>
      <c r="N20" s="688">
        <f>transport!M14</f>
        <v>7100.0640106213832</v>
      </c>
      <c r="O20" s="688">
        <f>transport!N14</f>
        <v>0</v>
      </c>
      <c r="P20" s="688">
        <f>transport!O14</f>
        <v>0</v>
      </c>
      <c r="Q20" s="689">
        <f>transport!P14</f>
        <v>0</v>
      </c>
      <c r="R20" s="691">
        <f>SUM(C20:Q20)</f>
        <v>166530.3478477138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3.9051436312952728</v>
      </c>
      <c r="D22" s="806">
        <f t="shared" ref="D22:R22" si="1">SUM(D18:D21)</f>
        <v>0</v>
      </c>
      <c r="E22" s="806">
        <f t="shared" si="1"/>
        <v>10.84841520609301</v>
      </c>
      <c r="F22" s="806">
        <f t="shared" si="1"/>
        <v>628.52582520656244</v>
      </c>
      <c r="G22" s="806">
        <f t="shared" si="1"/>
        <v>0</v>
      </c>
      <c r="H22" s="806">
        <f t="shared" si="1"/>
        <v>137347.80762724951</v>
      </c>
      <c r="I22" s="806">
        <f t="shared" si="1"/>
        <v>24097.662805171254</v>
      </c>
      <c r="J22" s="806">
        <f t="shared" si="1"/>
        <v>0</v>
      </c>
      <c r="K22" s="806">
        <f t="shared" si="1"/>
        <v>0</v>
      </c>
      <c r="L22" s="806">
        <f t="shared" si="1"/>
        <v>0</v>
      </c>
      <c r="M22" s="806">
        <f t="shared" si="1"/>
        <v>0</v>
      </c>
      <c r="N22" s="806">
        <f t="shared" si="1"/>
        <v>7216.8016371895656</v>
      </c>
      <c r="O22" s="806">
        <f t="shared" si="1"/>
        <v>0</v>
      </c>
      <c r="P22" s="806">
        <f t="shared" si="1"/>
        <v>0</v>
      </c>
      <c r="Q22" s="806">
        <f t="shared" si="1"/>
        <v>0</v>
      </c>
      <c r="R22" s="806">
        <f t="shared" si="1"/>
        <v>169305.55145365428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1930.9138283782229</v>
      </c>
      <c r="D24" s="688">
        <f>+landbouw!C8</f>
        <v>8.4375</v>
      </c>
      <c r="E24" s="688">
        <f>+landbouw!D8</f>
        <v>411.57268182114694</v>
      </c>
      <c r="F24" s="688">
        <f>+landbouw!E8</f>
        <v>18.190502018027033</v>
      </c>
      <c r="G24" s="688">
        <f>+landbouw!F8</f>
        <v>6301.2126360194025</v>
      </c>
      <c r="H24" s="688">
        <f>+landbouw!G8</f>
        <v>0</v>
      </c>
      <c r="I24" s="688">
        <f>+landbouw!H8</f>
        <v>0</v>
      </c>
      <c r="J24" s="688">
        <f>+landbouw!I8</f>
        <v>0</v>
      </c>
      <c r="K24" s="688">
        <f>+landbouw!J8</f>
        <v>238.8634325334433</v>
      </c>
      <c r="L24" s="688">
        <f>+landbouw!K8</f>
        <v>0</v>
      </c>
      <c r="M24" s="688">
        <f>+landbouw!L8</f>
        <v>0</v>
      </c>
      <c r="N24" s="688">
        <f>+landbouw!M8</f>
        <v>0</v>
      </c>
      <c r="O24" s="688">
        <f>+landbouw!N8</f>
        <v>0</v>
      </c>
      <c r="P24" s="688">
        <f>+landbouw!O8</f>
        <v>0</v>
      </c>
      <c r="Q24" s="689">
        <f>+landbouw!P8</f>
        <v>0</v>
      </c>
      <c r="R24" s="691">
        <f>SUM(C24:Q24)</f>
        <v>8909.1905807702424</v>
      </c>
      <c r="S24" s="68"/>
    </row>
    <row r="25" spans="1:19" s="457" customFormat="1" ht="15" thickBot="1">
      <c r="A25" s="825" t="s">
        <v>912</v>
      </c>
      <c r="B25" s="1001"/>
      <c r="C25" s="1002">
        <f>IF(Onbekend_ele_kWh="---",0,Onbekend_ele_kWh)/1000+IF(REST_rest_ele_kWh="---",0,REST_rest_ele_kWh)/1000</f>
        <v>2124.7416139820898</v>
      </c>
      <c r="D25" s="1002"/>
      <c r="E25" s="1002">
        <f>IF(onbekend_gas_kWh="---",0,onbekend_gas_kWh)/1000+IF(REST_rest_gas_kWh="---",0,REST_rest_gas_kWh)/1000</f>
        <v>7761.77807559965</v>
      </c>
      <c r="F25" s="1002"/>
      <c r="G25" s="1002"/>
      <c r="H25" s="1002"/>
      <c r="I25" s="1002"/>
      <c r="J25" s="1002"/>
      <c r="K25" s="1002"/>
      <c r="L25" s="1002"/>
      <c r="M25" s="1002"/>
      <c r="N25" s="1002"/>
      <c r="O25" s="1002"/>
      <c r="P25" s="1002"/>
      <c r="Q25" s="1003"/>
      <c r="R25" s="691">
        <f>SUM(C25:Q25)</f>
        <v>9886.5196895817389</v>
      </c>
      <c r="S25" s="68"/>
    </row>
    <row r="26" spans="1:19" s="457" customFormat="1" ht="15.75" thickBot="1">
      <c r="A26" s="694" t="s">
        <v>913</v>
      </c>
      <c r="B26" s="811"/>
      <c r="C26" s="806">
        <f>SUM(C24:C25)</f>
        <v>4055.6554423603129</v>
      </c>
      <c r="D26" s="806">
        <f t="shared" ref="D26:R26" si="2">SUM(D24:D25)</f>
        <v>8.4375</v>
      </c>
      <c r="E26" s="806">
        <f t="shared" si="2"/>
        <v>8173.350757420797</v>
      </c>
      <c r="F26" s="806">
        <f t="shared" si="2"/>
        <v>18.190502018027033</v>
      </c>
      <c r="G26" s="806">
        <f t="shared" si="2"/>
        <v>6301.2126360194025</v>
      </c>
      <c r="H26" s="806">
        <f t="shared" si="2"/>
        <v>0</v>
      </c>
      <c r="I26" s="806">
        <f t="shared" si="2"/>
        <v>0</v>
      </c>
      <c r="J26" s="806">
        <f t="shared" si="2"/>
        <v>0</v>
      </c>
      <c r="K26" s="806">
        <f t="shared" si="2"/>
        <v>238.8634325334433</v>
      </c>
      <c r="L26" s="806">
        <f t="shared" si="2"/>
        <v>0</v>
      </c>
      <c r="M26" s="806">
        <f t="shared" si="2"/>
        <v>0</v>
      </c>
      <c r="N26" s="806">
        <f t="shared" si="2"/>
        <v>0</v>
      </c>
      <c r="O26" s="806">
        <f t="shared" si="2"/>
        <v>0</v>
      </c>
      <c r="P26" s="806">
        <f t="shared" si="2"/>
        <v>0</v>
      </c>
      <c r="Q26" s="806">
        <f t="shared" si="2"/>
        <v>0</v>
      </c>
      <c r="R26" s="806">
        <f t="shared" si="2"/>
        <v>18795.710270351981</v>
      </c>
      <c r="S26" s="68"/>
    </row>
    <row r="27" spans="1:19" s="457" customFormat="1" ht="17.25" thickTop="1" thickBot="1">
      <c r="A27" s="695" t="s">
        <v>116</v>
      </c>
      <c r="B27" s="798"/>
      <c r="C27" s="696">
        <f ca="1">C22+C16+C26</f>
        <v>292123.06226456014</v>
      </c>
      <c r="D27" s="696">
        <f t="shared" ref="D27:R27" ca="1" si="3">D22+D16+D26</f>
        <v>8.4375</v>
      </c>
      <c r="E27" s="696">
        <f t="shared" ca="1" si="3"/>
        <v>446955.49626332248</v>
      </c>
      <c r="F27" s="696">
        <f t="shared" si="3"/>
        <v>15441.285222772522</v>
      </c>
      <c r="G27" s="696">
        <f t="shared" ca="1" si="3"/>
        <v>107587.84387351527</v>
      </c>
      <c r="H27" s="696">
        <f t="shared" si="3"/>
        <v>137347.80762724951</v>
      </c>
      <c r="I27" s="696">
        <f t="shared" si="3"/>
        <v>24097.662805171254</v>
      </c>
      <c r="J27" s="696">
        <f t="shared" si="3"/>
        <v>0</v>
      </c>
      <c r="K27" s="696">
        <f t="shared" si="3"/>
        <v>3294.7642576317448</v>
      </c>
      <c r="L27" s="696">
        <f t="shared" si="3"/>
        <v>0</v>
      </c>
      <c r="M27" s="696">
        <f t="shared" ca="1" si="3"/>
        <v>0</v>
      </c>
      <c r="N27" s="696">
        <f t="shared" si="3"/>
        <v>7216.8016371895656</v>
      </c>
      <c r="O27" s="696">
        <f t="shared" ca="1" si="3"/>
        <v>32440.510609290159</v>
      </c>
      <c r="P27" s="696">
        <f t="shared" si="3"/>
        <v>254.82333333333332</v>
      </c>
      <c r="Q27" s="696">
        <f t="shared" si="3"/>
        <v>552.93333333333339</v>
      </c>
      <c r="R27" s="696">
        <f t="shared" ca="1" si="3"/>
        <v>1067321.4287273695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12969.026220639178</v>
      </c>
      <c r="D40" s="688">
        <f ca="1">tertiair!C20</f>
        <v>0</v>
      </c>
      <c r="E40" s="688">
        <f ca="1">tertiair!D20</f>
        <v>23533.840277171395</v>
      </c>
      <c r="F40" s="688">
        <f>tertiair!E20</f>
        <v>122.40355021091091</v>
      </c>
      <c r="G40" s="688">
        <f ca="1">tertiair!F20</f>
        <v>3365.9676297034853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39991.237677724966</v>
      </c>
    </row>
    <row r="41" spans="1:18">
      <c r="A41" s="816" t="s">
        <v>225</v>
      </c>
      <c r="B41" s="823"/>
      <c r="C41" s="688">
        <f ca="1">huishoudens!B12</f>
        <v>11834.739043308375</v>
      </c>
      <c r="D41" s="688">
        <f ca="1">huishoudens!C12</f>
        <v>0</v>
      </c>
      <c r="E41" s="688">
        <f>huishoudens!D12</f>
        <v>22048.070871921427</v>
      </c>
      <c r="F41" s="688">
        <f>huishoudens!E12</f>
        <v>2888.1517809169213</v>
      </c>
      <c r="G41" s="688">
        <f>huishoudens!F12</f>
        <v>11515.095685331758</v>
      </c>
      <c r="H41" s="688">
        <f>huishoudens!G12</f>
        <v>0</v>
      </c>
      <c r="I41" s="688">
        <f>huishoudens!H12</f>
        <v>0</v>
      </c>
      <c r="J41" s="688">
        <f>huishoudens!I12</f>
        <v>0</v>
      </c>
      <c r="K41" s="688">
        <f>huishoudens!J12</f>
        <v>840.07308664365542</v>
      </c>
      <c r="L41" s="688">
        <f>huishoudens!K12</f>
        <v>0</v>
      </c>
      <c r="M41" s="688">
        <f>huishoudens!L12</f>
        <v>0</v>
      </c>
      <c r="N41" s="688">
        <f>huishoudens!M12</f>
        <v>0</v>
      </c>
      <c r="O41" s="688">
        <f>huishoudens!N12</f>
        <v>0</v>
      </c>
      <c r="P41" s="688">
        <f>huishoudens!O12</f>
        <v>0</v>
      </c>
      <c r="Q41" s="763">
        <f>huishoudens!P12</f>
        <v>0</v>
      </c>
      <c r="R41" s="844">
        <f t="shared" ca="1" si="4"/>
        <v>49126.130468122145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35996.942704681474</v>
      </c>
      <c r="D43" s="688">
        <f ca="1">industrie!C22</f>
        <v>0</v>
      </c>
      <c r="E43" s="688">
        <f>industrie!D22</f>
        <v>43049.890863227687</v>
      </c>
      <c r="F43" s="688">
        <f>industrie!E22</f>
        <v>347.81180816154836</v>
      </c>
      <c r="G43" s="688">
        <f>industrie!F22</f>
        <v>12162.467225376153</v>
      </c>
      <c r="H43" s="688">
        <f>industrie!G22</f>
        <v>0</v>
      </c>
      <c r="I43" s="688">
        <f>industrie!H22</f>
        <v>0</v>
      </c>
      <c r="J43" s="688">
        <f>industrie!I22</f>
        <v>0</v>
      </c>
      <c r="K43" s="688">
        <f>industrie!J22</f>
        <v>241.71580544114315</v>
      </c>
      <c r="L43" s="688">
        <f>industrie!K22</f>
        <v>0</v>
      </c>
      <c r="M43" s="688">
        <f>industrie!L22</f>
        <v>0</v>
      </c>
      <c r="N43" s="688">
        <f>industrie!M22</f>
        <v>0</v>
      </c>
      <c r="O43" s="688">
        <f>industrie!N22</f>
        <v>0</v>
      </c>
      <c r="P43" s="688">
        <f>industrie!O22</f>
        <v>0</v>
      </c>
      <c r="Q43" s="763">
        <f>industrie!P22</f>
        <v>0</v>
      </c>
      <c r="R43" s="843">
        <f t="shared" ca="1" si="4"/>
        <v>91798.828406888017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60800.707968629024</v>
      </c>
      <c r="D46" s="721">
        <f t="shared" ref="D46:Q46" ca="1" si="5">SUM(D39:D45)</f>
        <v>0</v>
      </c>
      <c r="E46" s="721">
        <f t="shared" ca="1" si="5"/>
        <v>88631.802012320506</v>
      </c>
      <c r="F46" s="721">
        <f t="shared" si="5"/>
        <v>3358.3671392893807</v>
      </c>
      <c r="G46" s="721">
        <f t="shared" ca="1" si="5"/>
        <v>27043.530540411397</v>
      </c>
      <c r="H46" s="721">
        <f t="shared" si="5"/>
        <v>0</v>
      </c>
      <c r="I46" s="721">
        <f t="shared" si="5"/>
        <v>0</v>
      </c>
      <c r="J46" s="721">
        <f t="shared" si="5"/>
        <v>0</v>
      </c>
      <c r="K46" s="721">
        <f t="shared" si="5"/>
        <v>1081.7888920847986</v>
      </c>
      <c r="L46" s="721">
        <f t="shared" si="5"/>
        <v>0</v>
      </c>
      <c r="M46" s="721">
        <f t="shared" ca="1" si="5"/>
        <v>0</v>
      </c>
      <c r="N46" s="721">
        <f t="shared" si="5"/>
        <v>0</v>
      </c>
      <c r="O46" s="721">
        <f t="shared" ca="1" si="5"/>
        <v>0</v>
      </c>
      <c r="P46" s="721">
        <f t="shared" si="5"/>
        <v>0</v>
      </c>
      <c r="Q46" s="721">
        <f t="shared" si="5"/>
        <v>0</v>
      </c>
      <c r="R46" s="721">
        <f ca="1">SUM(R39:R45)</f>
        <v>180916.19655273511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709.81041649240194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709.81041649240194</v>
      </c>
    </row>
    <row r="50" spans="1:18">
      <c r="A50" s="819" t="s">
        <v>307</v>
      </c>
      <c r="B50" s="829"/>
      <c r="C50" s="1008">
        <f ca="1">transport!B18</f>
        <v>0.82424707093533245</v>
      </c>
      <c r="D50" s="1008">
        <f>transport!C18</f>
        <v>0</v>
      </c>
      <c r="E50" s="1008">
        <f>transport!D18</f>
        <v>2.1913798716307884</v>
      </c>
      <c r="F50" s="1008">
        <f>transport!E18</f>
        <v>142.67536232188968</v>
      </c>
      <c r="G50" s="1008">
        <f>transport!F18</f>
        <v>0</v>
      </c>
      <c r="H50" s="1008">
        <f>transport!G18</f>
        <v>35962.05421998322</v>
      </c>
      <c r="I50" s="1008">
        <f>transport!H18</f>
        <v>6000.3180384876423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42108.063247735314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0.82424707093533245</v>
      </c>
      <c r="D52" s="721">
        <f t="shared" ref="D52:Q52" ca="1" si="6">SUM(D48:D51)</f>
        <v>0</v>
      </c>
      <c r="E52" s="721">
        <f t="shared" si="6"/>
        <v>2.1913798716307884</v>
      </c>
      <c r="F52" s="721">
        <f t="shared" si="6"/>
        <v>142.67536232188968</v>
      </c>
      <c r="G52" s="721">
        <f t="shared" si="6"/>
        <v>0</v>
      </c>
      <c r="H52" s="721">
        <f t="shared" si="6"/>
        <v>36671.864636475621</v>
      </c>
      <c r="I52" s="721">
        <f t="shared" si="6"/>
        <v>6000.3180384876423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42817.873664227714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407.55224840254806</v>
      </c>
      <c r="D54" s="1008">
        <f ca="1">+landbouw!C12</f>
        <v>1.89375</v>
      </c>
      <c r="E54" s="1008">
        <f>+landbouw!D12</f>
        <v>83.137681727871694</v>
      </c>
      <c r="F54" s="1008">
        <f>+landbouw!E12</f>
        <v>4.129243958092137</v>
      </c>
      <c r="G54" s="1008">
        <f>+landbouw!F12</f>
        <v>1682.4237738171805</v>
      </c>
      <c r="H54" s="1008">
        <f>+landbouw!G12</f>
        <v>0</v>
      </c>
      <c r="I54" s="1008">
        <f>+landbouw!H12</f>
        <v>0</v>
      </c>
      <c r="J54" s="1008">
        <f>+landbouw!I12</f>
        <v>0</v>
      </c>
      <c r="K54" s="1008">
        <f>+landbouw!J12</f>
        <v>84.55765511683893</v>
      </c>
      <c r="L54" s="1008">
        <f>+landbouw!K12</f>
        <v>0</v>
      </c>
      <c r="M54" s="1008">
        <f>+landbouw!L12</f>
        <v>0</v>
      </c>
      <c r="N54" s="1008">
        <f>+landbouw!M12</f>
        <v>0</v>
      </c>
      <c r="O54" s="1008">
        <f>+landbouw!N12</f>
        <v>0</v>
      </c>
      <c r="P54" s="1008">
        <f>+landbouw!O12</f>
        <v>0</v>
      </c>
      <c r="Q54" s="1009">
        <f>+landbouw!P12</f>
        <v>0</v>
      </c>
      <c r="R54" s="720">
        <f ca="1">SUM(C54:Q54)</f>
        <v>2263.6943530225312</v>
      </c>
    </row>
    <row r="55" spans="1:18" ht="15" thickBot="1">
      <c r="A55" s="819" t="s">
        <v>912</v>
      </c>
      <c r="B55" s="829"/>
      <c r="C55" s="1008">
        <f ca="1">C25*'EF ele_warmte'!B12</f>
        <v>448.46290358807278</v>
      </c>
      <c r="D55" s="1008"/>
      <c r="E55" s="1008">
        <f>E25*EF_CO2_aardgas</f>
        <v>1567.8791712711295</v>
      </c>
      <c r="F55" s="1008"/>
      <c r="G55" s="1008"/>
      <c r="H55" s="1008"/>
      <c r="I55" s="1008"/>
      <c r="J55" s="1008"/>
      <c r="K55" s="1008"/>
      <c r="L55" s="1008"/>
      <c r="M55" s="1008"/>
      <c r="N55" s="1008"/>
      <c r="O55" s="1008"/>
      <c r="P55" s="1008"/>
      <c r="Q55" s="1009"/>
      <c r="R55" s="720">
        <f ca="1">SUM(C55:Q55)</f>
        <v>2016.3420748592023</v>
      </c>
    </row>
    <row r="56" spans="1:18" ht="15.75" thickBot="1">
      <c r="A56" s="817" t="s">
        <v>913</v>
      </c>
      <c r="B56" s="830"/>
      <c r="C56" s="721">
        <f ca="1">SUM(C54:C55)</f>
        <v>856.01515199062078</v>
      </c>
      <c r="D56" s="721">
        <f t="shared" ref="D56:Q56" ca="1" si="7">SUM(D54:D55)</f>
        <v>1.89375</v>
      </c>
      <c r="E56" s="721">
        <f t="shared" si="7"/>
        <v>1651.0168529990012</v>
      </c>
      <c r="F56" s="721">
        <f t="shared" si="7"/>
        <v>4.129243958092137</v>
      </c>
      <c r="G56" s="721">
        <f t="shared" si="7"/>
        <v>1682.4237738171805</v>
      </c>
      <c r="H56" s="721">
        <f t="shared" si="7"/>
        <v>0</v>
      </c>
      <c r="I56" s="721">
        <f t="shared" si="7"/>
        <v>0</v>
      </c>
      <c r="J56" s="721">
        <f t="shared" si="7"/>
        <v>0</v>
      </c>
      <c r="K56" s="721">
        <f t="shared" si="7"/>
        <v>84.55765511683893</v>
      </c>
      <c r="L56" s="721">
        <f t="shared" si="7"/>
        <v>0</v>
      </c>
      <c r="M56" s="721">
        <f t="shared" si="7"/>
        <v>0</v>
      </c>
      <c r="N56" s="721">
        <f t="shared" si="7"/>
        <v>0</v>
      </c>
      <c r="O56" s="721">
        <f t="shared" si="7"/>
        <v>0</v>
      </c>
      <c r="P56" s="721">
        <f t="shared" si="7"/>
        <v>0</v>
      </c>
      <c r="Q56" s="722">
        <f t="shared" si="7"/>
        <v>0</v>
      </c>
      <c r="R56" s="723">
        <f ca="1">SUM(R54:R55)</f>
        <v>4280.0364278817333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61657.547367690582</v>
      </c>
      <c r="D61" s="729">
        <f t="shared" ref="D61:Q61" ca="1" si="8">D46+D52+D56</f>
        <v>1.89375</v>
      </c>
      <c r="E61" s="729">
        <f t="shared" ca="1" si="8"/>
        <v>90285.010245191137</v>
      </c>
      <c r="F61" s="729">
        <f t="shared" si="8"/>
        <v>3505.1717455693624</v>
      </c>
      <c r="G61" s="729">
        <f t="shared" ca="1" si="8"/>
        <v>28725.954314228577</v>
      </c>
      <c r="H61" s="729">
        <f t="shared" si="8"/>
        <v>36671.864636475621</v>
      </c>
      <c r="I61" s="729">
        <f t="shared" si="8"/>
        <v>6000.3180384876423</v>
      </c>
      <c r="J61" s="729">
        <f t="shared" si="8"/>
        <v>0</v>
      </c>
      <c r="K61" s="729">
        <f t="shared" si="8"/>
        <v>1166.3465472016376</v>
      </c>
      <c r="L61" s="729">
        <f t="shared" si="8"/>
        <v>0</v>
      </c>
      <c r="M61" s="729">
        <f t="shared" ca="1" si="8"/>
        <v>0</v>
      </c>
      <c r="N61" s="729">
        <f t="shared" si="8"/>
        <v>0</v>
      </c>
      <c r="O61" s="729">
        <f t="shared" ca="1" si="8"/>
        <v>0</v>
      </c>
      <c r="P61" s="729">
        <f t="shared" si="8"/>
        <v>0</v>
      </c>
      <c r="Q61" s="729">
        <f t="shared" si="8"/>
        <v>0</v>
      </c>
      <c r="R61" s="729">
        <f ca="1">R46+R52+R56</f>
        <v>228014.10664484458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0.2110670307565469</v>
      </c>
      <c r="D63" s="773">
        <f t="shared" ca="1" si="9"/>
        <v>0.22444444444444445</v>
      </c>
      <c r="E63" s="1010">
        <f t="shared" ca="1" si="9"/>
        <v>0.20199999999999999</v>
      </c>
      <c r="F63" s="773">
        <f t="shared" si="9"/>
        <v>0.22700000000000001</v>
      </c>
      <c r="G63" s="773">
        <f t="shared" ca="1" si="9"/>
        <v>0.26699999999999996</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13129.661562340396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1.6875</v>
      </c>
      <c r="D76" s="1020">
        <f>'lokale energieproductie'!C8</f>
        <v>1.875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0.37875000000000003</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13129.661562340396</v>
      </c>
      <c r="C78" s="744">
        <f>SUM(C72:C77)</f>
        <v>1.6875</v>
      </c>
      <c r="D78" s="745">
        <f t="shared" ref="D78:H78" si="10">SUM(D76:D77)</f>
        <v>1.875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0.37875000000000003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8.4375</v>
      </c>
      <c r="D87" s="766">
        <f>'lokale energieproductie'!C17</f>
        <v>9.375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1.89375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8.4375</v>
      </c>
      <c r="D90" s="744">
        <f t="shared" ref="D90:H90" si="12">SUM(D87:D89)</f>
        <v>9.375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1.89375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13129.661562340396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1.6875</v>
      </c>
      <c r="C8" s="558">
        <f>B101</f>
        <v>1.875</v>
      </c>
      <c r="D8" s="991"/>
      <c r="E8" s="991">
        <f>E101</f>
        <v>0</v>
      </c>
      <c r="F8" s="992"/>
      <c r="G8" s="559"/>
      <c r="H8" s="991">
        <f>I101</f>
        <v>0</v>
      </c>
      <c r="I8" s="991">
        <f>G101+F101</f>
        <v>0</v>
      </c>
      <c r="J8" s="991">
        <f>H101+D101+C101</f>
        <v>0</v>
      </c>
      <c r="K8" s="991"/>
      <c r="L8" s="991"/>
      <c r="M8" s="991"/>
      <c r="N8" s="560"/>
      <c r="O8" s="561">
        <f>C8*$C$12+D8*$D$12+E8*$E$12+F8*$F$12+G8*$G$12+H8*$H$12+I8*$I$12+J8*$J$12</f>
        <v>0.37875000000000003</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13131.349062340396</v>
      </c>
      <c r="C10" s="570">
        <f t="shared" ref="C10:L10" si="0">SUM(C8:C9)</f>
        <v>1.875</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0.37875000000000003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8.4375</v>
      </c>
      <c r="C17" s="582">
        <f>B102</f>
        <v>9.375</v>
      </c>
      <c r="D17" s="583"/>
      <c r="E17" s="583">
        <f>E102</f>
        <v>0</v>
      </c>
      <c r="F17" s="584"/>
      <c r="G17" s="585"/>
      <c r="H17" s="582">
        <f>I102</f>
        <v>0</v>
      </c>
      <c r="I17" s="583">
        <f>G102+F102</f>
        <v>0</v>
      </c>
      <c r="J17" s="583">
        <f>H102+D102+C102</f>
        <v>0</v>
      </c>
      <c r="K17" s="583"/>
      <c r="L17" s="583"/>
      <c r="M17" s="583"/>
      <c r="N17" s="998"/>
      <c r="O17" s="586">
        <f>C17*$C$22+E17*$E$22+H17*$H$22+I17*$I$22+J17*$J$22+D17*$D$22+F17*$F$22+G17*$G$22+K17*$K$22+L17*$L$22</f>
        <v>1.89375</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8.4375</v>
      </c>
      <c r="C20" s="569">
        <f>SUM(C17:C19)</f>
        <v>9.375</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1.89375</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45035</v>
      </c>
      <c r="C28" s="789">
        <v>9700</v>
      </c>
      <c r="D28" s="642" t="s">
        <v>948</v>
      </c>
      <c r="E28" s="641" t="s">
        <v>949</v>
      </c>
      <c r="F28" s="641" t="s">
        <v>950</v>
      </c>
      <c r="G28" s="641" t="s">
        <v>951</v>
      </c>
      <c r="H28" s="641" t="s">
        <v>951</v>
      </c>
      <c r="I28" s="641" t="s">
        <v>949</v>
      </c>
      <c r="J28" s="788">
        <v>40512</v>
      </c>
      <c r="K28" s="788">
        <v>41122</v>
      </c>
      <c r="L28" s="641" t="s">
        <v>952</v>
      </c>
      <c r="M28" s="641">
        <v>1</v>
      </c>
      <c r="N28" s="641">
        <v>0.5625</v>
      </c>
      <c r="O28" s="641">
        <v>2.8125</v>
      </c>
      <c r="P28" s="641">
        <v>3.75</v>
      </c>
      <c r="Q28" s="641">
        <v>0</v>
      </c>
      <c r="R28" s="641">
        <v>0</v>
      </c>
      <c r="S28" s="641">
        <v>0</v>
      </c>
      <c r="T28" s="641">
        <v>0</v>
      </c>
      <c r="U28" s="641">
        <v>0</v>
      </c>
      <c r="V28" s="641">
        <v>0</v>
      </c>
      <c r="W28" s="641"/>
      <c r="X28" s="641">
        <v>10</v>
      </c>
      <c r="Y28" s="641" t="s">
        <v>112</v>
      </c>
      <c r="Z28" s="643" t="s">
        <v>112</v>
      </c>
    </row>
    <row r="29" spans="1:26" s="595" customFormat="1" ht="25.5">
      <c r="A29" s="594"/>
      <c r="B29" s="789">
        <v>45035</v>
      </c>
      <c r="C29" s="789">
        <v>9700</v>
      </c>
      <c r="D29" s="642" t="s">
        <v>953</v>
      </c>
      <c r="E29" s="641" t="s">
        <v>954</v>
      </c>
      <c r="F29" s="641" t="s">
        <v>955</v>
      </c>
      <c r="G29" s="641" t="s">
        <v>951</v>
      </c>
      <c r="H29" s="641" t="s">
        <v>951</v>
      </c>
      <c r="I29" s="641" t="s">
        <v>954</v>
      </c>
      <c r="J29" s="788">
        <v>40892</v>
      </c>
      <c r="K29" s="788">
        <v>41000</v>
      </c>
      <c r="L29" s="641" t="s">
        <v>952</v>
      </c>
      <c r="M29" s="641">
        <v>1</v>
      </c>
      <c r="N29" s="641">
        <v>1.125</v>
      </c>
      <c r="O29" s="641">
        <v>5.625</v>
      </c>
      <c r="P29" s="641">
        <v>7.5</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v>
      </c>
      <c r="N58" s="599">
        <f>SUM(N28:N57)</f>
        <v>1.6875</v>
      </c>
      <c r="O58" s="599">
        <f t="shared" ref="O58:W58" si="2">SUM(O28:O57)</f>
        <v>8.4375</v>
      </c>
      <c r="P58" s="599">
        <f t="shared" si="2"/>
        <v>11.25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v>
      </c>
      <c r="N61" s="604">
        <f t="shared" si="4"/>
        <v>1.6875</v>
      </c>
      <c r="O61" s="604">
        <f t="shared" si="4"/>
        <v>8.4375</v>
      </c>
      <c r="P61" s="604">
        <f t="shared" si="4"/>
        <v>11.25</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0.83333333333333337</v>
      </c>
      <c r="C98" s="624">
        <f>IF(ISERROR(N58/(O58+N58)),0,N58/(N58+O58))</f>
        <v>0.16666666666666666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1.875</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9.375</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56070.99792368347</v>
      </c>
      <c r="C4" s="461">
        <f>huishoudens!C8</f>
        <v>0</v>
      </c>
      <c r="D4" s="461">
        <f>huishoudens!D8</f>
        <v>109148.86570258132</v>
      </c>
      <c r="E4" s="461">
        <f>huishoudens!E8</f>
        <v>12723.135598752957</v>
      </c>
      <c r="F4" s="461">
        <f>huishoudens!F8</f>
        <v>43127.699195999092</v>
      </c>
      <c r="G4" s="461">
        <f>huishoudens!G8</f>
        <v>0</v>
      </c>
      <c r="H4" s="461">
        <f>huishoudens!H8</f>
        <v>0</v>
      </c>
      <c r="I4" s="461">
        <f>huishoudens!I8</f>
        <v>0</v>
      </c>
      <c r="J4" s="461">
        <f>huishoudens!J8</f>
        <v>2373.0878153775579</v>
      </c>
      <c r="K4" s="461">
        <f>huishoudens!K8</f>
        <v>0</v>
      </c>
      <c r="L4" s="461">
        <f>huishoudens!L8</f>
        <v>0</v>
      </c>
      <c r="M4" s="461">
        <f>huishoudens!M8</f>
        <v>0</v>
      </c>
      <c r="N4" s="461">
        <f>huishoudens!N8</f>
        <v>22774.209390752254</v>
      </c>
      <c r="O4" s="461">
        <f>huishoudens!O8</f>
        <v>250.13333333333333</v>
      </c>
      <c r="P4" s="462">
        <f>huishoudens!P8</f>
        <v>533.86666666666667</v>
      </c>
      <c r="Q4" s="463">
        <f>SUM(B4:P4)</f>
        <v>247001.99562714668</v>
      </c>
    </row>
    <row r="5" spans="1:17">
      <c r="A5" s="460" t="s">
        <v>156</v>
      </c>
      <c r="B5" s="461">
        <f ca="1">tertiair!B16</f>
        <v>59020.510297764842</v>
      </c>
      <c r="C5" s="461">
        <f ca="1">tertiair!C16</f>
        <v>0</v>
      </c>
      <c r="D5" s="461">
        <f ca="1">tertiair!D16</f>
        <v>116504.1597879772</v>
      </c>
      <c r="E5" s="461">
        <f>tertiair!E16</f>
        <v>539.22268815379255</v>
      </c>
      <c r="F5" s="461">
        <f ca="1">tertiair!F16</f>
        <v>12606.620335968109</v>
      </c>
      <c r="G5" s="461">
        <f>tertiair!G16</f>
        <v>0</v>
      </c>
      <c r="H5" s="461">
        <f>tertiair!H16</f>
        <v>0</v>
      </c>
      <c r="I5" s="461">
        <f>tertiair!I16</f>
        <v>0</v>
      </c>
      <c r="J5" s="461">
        <f>tertiair!J16</f>
        <v>0</v>
      </c>
      <c r="K5" s="461">
        <f>tertiair!K16</f>
        <v>0</v>
      </c>
      <c r="L5" s="461">
        <f ca="1">tertiair!L16</f>
        <v>0</v>
      </c>
      <c r="M5" s="461">
        <f>tertiair!M16</f>
        <v>0</v>
      </c>
      <c r="N5" s="461">
        <f ca="1">tertiair!N16</f>
        <v>3642.1874022448105</v>
      </c>
      <c r="O5" s="461">
        <f>tertiair!O16</f>
        <v>4.6900000000000004</v>
      </c>
      <c r="P5" s="462">
        <f>tertiair!P16</f>
        <v>19.066666666666666</v>
      </c>
      <c r="Q5" s="460">
        <f t="shared" ref="Q5:Q14" ca="1" si="0">SUM(B5:P5)</f>
        <v>192336.45717877545</v>
      </c>
    </row>
    <row r="6" spans="1:17">
      <c r="A6" s="460" t="s">
        <v>194</v>
      </c>
      <c r="B6" s="461">
        <f>'openbare verlichting'!B8</f>
        <v>2424.549</v>
      </c>
      <c r="C6" s="461"/>
      <c r="D6" s="461"/>
      <c r="E6" s="461"/>
      <c r="F6" s="461"/>
      <c r="G6" s="461"/>
      <c r="H6" s="461"/>
      <c r="I6" s="461"/>
      <c r="J6" s="461"/>
      <c r="K6" s="461"/>
      <c r="L6" s="461"/>
      <c r="M6" s="461"/>
      <c r="N6" s="461"/>
      <c r="O6" s="461"/>
      <c r="P6" s="462"/>
      <c r="Q6" s="460">
        <f t="shared" si="0"/>
        <v>2424.549</v>
      </c>
    </row>
    <row r="7" spans="1:17">
      <c r="A7" s="460" t="s">
        <v>112</v>
      </c>
      <c r="B7" s="461">
        <f>landbouw!B8</f>
        <v>1930.9138283782229</v>
      </c>
      <c r="C7" s="461">
        <f>landbouw!C8</f>
        <v>8.4375</v>
      </c>
      <c r="D7" s="461">
        <f>landbouw!D8</f>
        <v>411.57268182114694</v>
      </c>
      <c r="E7" s="461">
        <f>landbouw!E8</f>
        <v>18.190502018027033</v>
      </c>
      <c r="F7" s="461">
        <f>landbouw!F8</f>
        <v>6301.2126360194025</v>
      </c>
      <c r="G7" s="461">
        <f>landbouw!G8</f>
        <v>0</v>
      </c>
      <c r="H7" s="461">
        <f>landbouw!H8</f>
        <v>0</v>
      </c>
      <c r="I7" s="461">
        <f>landbouw!I8</f>
        <v>0</v>
      </c>
      <c r="J7" s="461">
        <f>landbouw!J8</f>
        <v>238.8634325334433</v>
      </c>
      <c r="K7" s="461">
        <f>landbouw!K8</f>
        <v>0</v>
      </c>
      <c r="L7" s="461">
        <f>landbouw!L8</f>
        <v>0</v>
      </c>
      <c r="M7" s="461">
        <f>landbouw!M8</f>
        <v>0</v>
      </c>
      <c r="N7" s="461">
        <f>landbouw!N8</f>
        <v>0</v>
      </c>
      <c r="O7" s="461">
        <f>landbouw!O8</f>
        <v>0</v>
      </c>
      <c r="P7" s="462">
        <f>landbouw!P8</f>
        <v>0</v>
      </c>
      <c r="Q7" s="460">
        <f t="shared" si="0"/>
        <v>8909.1905807702424</v>
      </c>
    </row>
    <row r="8" spans="1:17">
      <c r="A8" s="460" t="s">
        <v>685</v>
      </c>
      <c r="B8" s="461">
        <f>industrie!B18</f>
        <v>170547.44445712026</v>
      </c>
      <c r="C8" s="461">
        <f>industrie!C18</f>
        <v>0</v>
      </c>
      <c r="D8" s="461">
        <f>industrie!D18</f>
        <v>213118.27160013706</v>
      </c>
      <c r="E8" s="461">
        <f>industrie!E18</f>
        <v>1532.210608641182</v>
      </c>
      <c r="F8" s="461">
        <f>industrie!F18</f>
        <v>45552.311705528657</v>
      </c>
      <c r="G8" s="461">
        <f>industrie!G18</f>
        <v>0</v>
      </c>
      <c r="H8" s="461">
        <f>industrie!H18</f>
        <v>0</v>
      </c>
      <c r="I8" s="461">
        <f>industrie!I18</f>
        <v>0</v>
      </c>
      <c r="J8" s="461">
        <f>industrie!J18</f>
        <v>682.81300972074337</v>
      </c>
      <c r="K8" s="461">
        <f>industrie!K18</f>
        <v>0</v>
      </c>
      <c r="L8" s="461">
        <f>industrie!L18</f>
        <v>0</v>
      </c>
      <c r="M8" s="461">
        <f>industrie!M18</f>
        <v>0</v>
      </c>
      <c r="N8" s="461">
        <f>industrie!N18</f>
        <v>6024.1138162930947</v>
      </c>
      <c r="O8" s="461">
        <f>industrie!O18</f>
        <v>0</v>
      </c>
      <c r="P8" s="462">
        <f>industrie!P18</f>
        <v>0</v>
      </c>
      <c r="Q8" s="460">
        <f t="shared" si="0"/>
        <v>437457.16519744101</v>
      </c>
    </row>
    <row r="9" spans="1:17" s="466" customFormat="1">
      <c r="A9" s="464" t="s">
        <v>579</v>
      </c>
      <c r="B9" s="465">
        <f>transport!B14</f>
        <v>3.9051436312952728</v>
      </c>
      <c r="C9" s="465">
        <f>transport!C14</f>
        <v>0</v>
      </c>
      <c r="D9" s="465">
        <f>transport!D14</f>
        <v>10.84841520609301</v>
      </c>
      <c r="E9" s="465">
        <f>transport!E14</f>
        <v>628.52582520656244</v>
      </c>
      <c r="F9" s="465">
        <f>transport!F14</f>
        <v>0</v>
      </c>
      <c r="G9" s="465">
        <f>transport!G14</f>
        <v>134689.34164787721</v>
      </c>
      <c r="H9" s="465">
        <f>transport!H14</f>
        <v>24097.662805171254</v>
      </c>
      <c r="I9" s="465">
        <f>transport!I14</f>
        <v>0</v>
      </c>
      <c r="J9" s="465">
        <f>transport!J14</f>
        <v>0</v>
      </c>
      <c r="K9" s="465">
        <f>transport!K14</f>
        <v>0</v>
      </c>
      <c r="L9" s="465">
        <f>transport!L14</f>
        <v>0</v>
      </c>
      <c r="M9" s="465">
        <f>transport!M14</f>
        <v>7100.0640106213832</v>
      </c>
      <c r="N9" s="465">
        <f>transport!N14</f>
        <v>0</v>
      </c>
      <c r="O9" s="465">
        <f>transport!O14</f>
        <v>0</v>
      </c>
      <c r="P9" s="465">
        <f>transport!P14</f>
        <v>0</v>
      </c>
      <c r="Q9" s="464">
        <f>SUM(B9:P9)</f>
        <v>166530.3478477138</v>
      </c>
    </row>
    <row r="10" spans="1:17">
      <c r="A10" s="460" t="s">
        <v>569</v>
      </c>
      <c r="B10" s="461">
        <f>transport!B54</f>
        <v>0</v>
      </c>
      <c r="C10" s="461">
        <f>transport!C54</f>
        <v>0</v>
      </c>
      <c r="D10" s="461">
        <f>transport!D54</f>
        <v>0</v>
      </c>
      <c r="E10" s="461">
        <f>transport!E54</f>
        <v>0</v>
      </c>
      <c r="F10" s="461">
        <f>transport!F54</f>
        <v>0</v>
      </c>
      <c r="G10" s="461">
        <f>transport!G54</f>
        <v>2658.4659793722917</v>
      </c>
      <c r="H10" s="461">
        <f>transport!H54</f>
        <v>0</v>
      </c>
      <c r="I10" s="461">
        <f>transport!I54</f>
        <v>0</v>
      </c>
      <c r="J10" s="461">
        <f>transport!J54</f>
        <v>0</v>
      </c>
      <c r="K10" s="461">
        <f>transport!K54</f>
        <v>0</v>
      </c>
      <c r="L10" s="461">
        <f>transport!L54</f>
        <v>0</v>
      </c>
      <c r="M10" s="461">
        <f>transport!M54</f>
        <v>116.73762656818272</v>
      </c>
      <c r="N10" s="461">
        <f>transport!N54</f>
        <v>0</v>
      </c>
      <c r="O10" s="461">
        <f>transport!O54</f>
        <v>0</v>
      </c>
      <c r="P10" s="462">
        <f>transport!P54</f>
        <v>0</v>
      </c>
      <c r="Q10" s="460">
        <f t="shared" si="0"/>
        <v>2775.2036059404745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2124.7416139820898</v>
      </c>
      <c r="C14" s="468"/>
      <c r="D14" s="468">
        <f>'SEAP template'!E25</f>
        <v>7761.77807559965</v>
      </c>
      <c r="E14" s="468"/>
      <c r="F14" s="468"/>
      <c r="G14" s="468"/>
      <c r="H14" s="468"/>
      <c r="I14" s="468"/>
      <c r="J14" s="468"/>
      <c r="K14" s="468"/>
      <c r="L14" s="468"/>
      <c r="M14" s="468"/>
      <c r="N14" s="468"/>
      <c r="O14" s="468"/>
      <c r="P14" s="469"/>
      <c r="Q14" s="460">
        <f t="shared" si="0"/>
        <v>9886.5196895817389</v>
      </c>
    </row>
    <row r="15" spans="1:17" s="473" customFormat="1">
      <c r="A15" s="470" t="s">
        <v>573</v>
      </c>
      <c r="B15" s="471">
        <f ca="1">SUM(B4:B14)</f>
        <v>292123.06226456014</v>
      </c>
      <c r="C15" s="471">
        <f t="shared" ref="C15:Q15" ca="1" si="1">SUM(C4:C14)</f>
        <v>8.4375</v>
      </c>
      <c r="D15" s="471">
        <f t="shared" ca="1" si="1"/>
        <v>446955.49626332248</v>
      </c>
      <c r="E15" s="471">
        <f t="shared" si="1"/>
        <v>15441.285222772522</v>
      </c>
      <c r="F15" s="471">
        <f t="shared" ca="1" si="1"/>
        <v>107587.84387351526</v>
      </c>
      <c r="G15" s="471">
        <f t="shared" si="1"/>
        <v>137347.80762724951</v>
      </c>
      <c r="H15" s="471">
        <f t="shared" si="1"/>
        <v>24097.662805171254</v>
      </c>
      <c r="I15" s="471">
        <f t="shared" si="1"/>
        <v>0</v>
      </c>
      <c r="J15" s="471">
        <f t="shared" si="1"/>
        <v>3294.7642576317448</v>
      </c>
      <c r="K15" s="471">
        <f t="shared" si="1"/>
        <v>0</v>
      </c>
      <c r="L15" s="471">
        <f t="shared" ca="1" si="1"/>
        <v>0</v>
      </c>
      <c r="M15" s="471">
        <f t="shared" si="1"/>
        <v>7216.8016371895656</v>
      </c>
      <c r="N15" s="471">
        <f t="shared" ca="1" si="1"/>
        <v>32440.510609290159</v>
      </c>
      <c r="O15" s="471">
        <f t="shared" si="1"/>
        <v>254.82333333333332</v>
      </c>
      <c r="P15" s="471">
        <f t="shared" si="1"/>
        <v>552.93333333333339</v>
      </c>
      <c r="Q15" s="471">
        <f t="shared" ca="1" si="1"/>
        <v>1067321.4287273695</v>
      </c>
    </row>
    <row r="17" spans="1:17">
      <c r="A17" s="474" t="s">
        <v>574</v>
      </c>
      <c r="B17" s="778">
        <f ca="1">huishoudens!B10</f>
        <v>0.21106703075654687</v>
      </c>
      <c r="C17" s="778">
        <f ca="1">huishoudens!C10</f>
        <v>0.22444444444444445</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11834.739043308375</v>
      </c>
      <c r="C22" s="461">
        <f t="shared" ref="C22:C32" ca="1" si="3">C4*$C$17</f>
        <v>0</v>
      </c>
      <c r="D22" s="461">
        <f t="shared" ref="D22:D32" si="4">D4*$D$17</f>
        <v>22048.070871921427</v>
      </c>
      <c r="E22" s="461">
        <f t="shared" ref="E22:E32" si="5">E4*$E$17</f>
        <v>2888.1517809169213</v>
      </c>
      <c r="F22" s="461">
        <f t="shared" ref="F22:F32" si="6">F4*$F$17</f>
        <v>11515.095685331758</v>
      </c>
      <c r="G22" s="461">
        <f t="shared" ref="G22:G32" si="7">G4*$G$17</f>
        <v>0</v>
      </c>
      <c r="H22" s="461">
        <f t="shared" ref="H22:H32" si="8">H4*$H$17</f>
        <v>0</v>
      </c>
      <c r="I22" s="461">
        <f t="shared" ref="I22:I32" si="9">I4*$I$17</f>
        <v>0</v>
      </c>
      <c r="J22" s="461">
        <f t="shared" ref="J22:J32" si="10">J4*$J$17</f>
        <v>840.07308664365542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49126.130468122145</v>
      </c>
    </row>
    <row r="23" spans="1:17">
      <c r="A23" s="460" t="s">
        <v>156</v>
      </c>
      <c r="B23" s="461">
        <f t="shared" ca="1" si="2"/>
        <v>12457.283862285423</v>
      </c>
      <c r="C23" s="461">
        <f t="shared" ca="1" si="3"/>
        <v>0</v>
      </c>
      <c r="D23" s="461">
        <f t="shared" ca="1" si="4"/>
        <v>23533.840277171395</v>
      </c>
      <c r="E23" s="461">
        <f t="shared" si="5"/>
        <v>122.40355021091091</v>
      </c>
      <c r="F23" s="461">
        <f t="shared" ca="1" si="6"/>
        <v>3365.9676297034853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39479.495319371214</v>
      </c>
    </row>
    <row r="24" spans="1:17">
      <c r="A24" s="460" t="s">
        <v>194</v>
      </c>
      <c r="B24" s="461">
        <f t="shared" ca="1" si="2"/>
        <v>511.74235835375492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511.74235835375492</v>
      </c>
    </row>
    <row r="25" spans="1:17">
      <c r="A25" s="460" t="s">
        <v>112</v>
      </c>
      <c r="B25" s="461">
        <f t="shared" ca="1" si="2"/>
        <v>407.55224840254806</v>
      </c>
      <c r="C25" s="461">
        <f t="shared" ca="1" si="3"/>
        <v>1.89375</v>
      </c>
      <c r="D25" s="461">
        <f t="shared" si="4"/>
        <v>83.137681727871694</v>
      </c>
      <c r="E25" s="461">
        <f t="shared" si="5"/>
        <v>4.129243958092137</v>
      </c>
      <c r="F25" s="461">
        <f t="shared" si="6"/>
        <v>1682.4237738171805</v>
      </c>
      <c r="G25" s="461">
        <f t="shared" si="7"/>
        <v>0</v>
      </c>
      <c r="H25" s="461">
        <f t="shared" si="8"/>
        <v>0</v>
      </c>
      <c r="I25" s="461">
        <f t="shared" si="9"/>
        <v>0</v>
      </c>
      <c r="J25" s="461">
        <f t="shared" si="10"/>
        <v>84.55765511683893</v>
      </c>
      <c r="K25" s="461">
        <f t="shared" si="11"/>
        <v>0</v>
      </c>
      <c r="L25" s="461">
        <f t="shared" si="12"/>
        <v>0</v>
      </c>
      <c r="M25" s="461">
        <f t="shared" si="13"/>
        <v>0</v>
      </c>
      <c r="N25" s="461">
        <f t="shared" si="14"/>
        <v>0</v>
      </c>
      <c r="O25" s="461">
        <f t="shared" si="15"/>
        <v>0</v>
      </c>
      <c r="P25" s="462">
        <f t="shared" si="16"/>
        <v>0</v>
      </c>
      <c r="Q25" s="460">
        <f t="shared" ca="1" si="17"/>
        <v>2263.6943530225312</v>
      </c>
    </row>
    <row r="26" spans="1:17">
      <c r="A26" s="460" t="s">
        <v>685</v>
      </c>
      <c r="B26" s="461">
        <f t="shared" ca="1" si="2"/>
        <v>35996.942704681474</v>
      </c>
      <c r="C26" s="461">
        <f t="shared" ca="1" si="3"/>
        <v>0</v>
      </c>
      <c r="D26" s="461">
        <f t="shared" si="4"/>
        <v>43049.890863227687</v>
      </c>
      <c r="E26" s="461">
        <f t="shared" si="5"/>
        <v>347.81180816154836</v>
      </c>
      <c r="F26" s="461">
        <f t="shared" si="6"/>
        <v>12162.467225376153</v>
      </c>
      <c r="G26" s="461">
        <f t="shared" si="7"/>
        <v>0</v>
      </c>
      <c r="H26" s="461">
        <f t="shared" si="8"/>
        <v>0</v>
      </c>
      <c r="I26" s="461">
        <f t="shared" si="9"/>
        <v>0</v>
      </c>
      <c r="J26" s="461">
        <f t="shared" si="10"/>
        <v>241.71580544114315</v>
      </c>
      <c r="K26" s="461">
        <f t="shared" si="11"/>
        <v>0</v>
      </c>
      <c r="L26" s="461">
        <f t="shared" si="12"/>
        <v>0</v>
      </c>
      <c r="M26" s="461">
        <f t="shared" si="13"/>
        <v>0</v>
      </c>
      <c r="N26" s="461">
        <f t="shared" si="14"/>
        <v>0</v>
      </c>
      <c r="O26" s="461">
        <f t="shared" si="15"/>
        <v>0</v>
      </c>
      <c r="P26" s="462">
        <f t="shared" si="16"/>
        <v>0</v>
      </c>
      <c r="Q26" s="460">
        <f t="shared" ca="1" si="17"/>
        <v>91798.828406888017</v>
      </c>
    </row>
    <row r="27" spans="1:17" s="466" customFormat="1">
      <c r="A27" s="464" t="s">
        <v>579</v>
      </c>
      <c r="B27" s="772">
        <f t="shared" ca="1" si="2"/>
        <v>0.82424707093533245</v>
      </c>
      <c r="C27" s="465">
        <f t="shared" ca="1" si="3"/>
        <v>0</v>
      </c>
      <c r="D27" s="465">
        <f t="shared" si="4"/>
        <v>2.1913798716307884</v>
      </c>
      <c r="E27" s="465">
        <f t="shared" si="5"/>
        <v>142.67536232188968</v>
      </c>
      <c r="F27" s="465">
        <f t="shared" si="6"/>
        <v>0</v>
      </c>
      <c r="G27" s="465">
        <f t="shared" si="7"/>
        <v>35962.05421998322</v>
      </c>
      <c r="H27" s="465">
        <f t="shared" si="8"/>
        <v>6000.3180384876423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42108.063247735314</v>
      </c>
    </row>
    <row r="28" spans="1:17">
      <c r="A28" s="460" t="s">
        <v>569</v>
      </c>
      <c r="B28" s="461">
        <f t="shared" ca="1" si="2"/>
        <v>0</v>
      </c>
      <c r="C28" s="461">
        <f t="shared" ca="1" si="3"/>
        <v>0</v>
      </c>
      <c r="D28" s="461">
        <f t="shared" si="4"/>
        <v>0</v>
      </c>
      <c r="E28" s="461">
        <f t="shared" si="5"/>
        <v>0</v>
      </c>
      <c r="F28" s="461">
        <f t="shared" si="6"/>
        <v>0</v>
      </c>
      <c r="G28" s="461">
        <f t="shared" si="7"/>
        <v>709.81041649240194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709.81041649240194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448.46290358807278</v>
      </c>
      <c r="C32" s="461">
        <f t="shared" ca="1" si="3"/>
        <v>0</v>
      </c>
      <c r="D32" s="461">
        <f t="shared" si="4"/>
        <v>1567.8791712711295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2016.3420748592023</v>
      </c>
    </row>
    <row r="33" spans="1:17" s="473" customFormat="1">
      <c r="A33" s="470" t="s">
        <v>573</v>
      </c>
      <c r="B33" s="471">
        <f ca="1">SUM(B22:B32)</f>
        <v>61657.547367690589</v>
      </c>
      <c r="C33" s="471">
        <f t="shared" ref="C33:Q33" ca="1" si="18">SUM(C22:C32)</f>
        <v>1.89375</v>
      </c>
      <c r="D33" s="471">
        <f t="shared" ca="1" si="18"/>
        <v>90285.010245191123</v>
      </c>
      <c r="E33" s="471">
        <f t="shared" si="18"/>
        <v>3505.1717455693624</v>
      </c>
      <c r="F33" s="471">
        <f t="shared" ca="1" si="18"/>
        <v>28725.954314228577</v>
      </c>
      <c r="G33" s="471">
        <f t="shared" si="18"/>
        <v>36671.864636475621</v>
      </c>
      <c r="H33" s="471">
        <f t="shared" si="18"/>
        <v>6000.3180384876423</v>
      </c>
      <c r="I33" s="471">
        <f t="shared" si="18"/>
        <v>0</v>
      </c>
      <c r="J33" s="471">
        <f t="shared" si="18"/>
        <v>1166.3465472016376</v>
      </c>
      <c r="K33" s="471">
        <f t="shared" si="18"/>
        <v>0</v>
      </c>
      <c r="L33" s="471">
        <f t="shared" ca="1" si="18"/>
        <v>0</v>
      </c>
      <c r="M33" s="471">
        <f t="shared" si="18"/>
        <v>0</v>
      </c>
      <c r="N33" s="471">
        <f t="shared" ca="1" si="18"/>
        <v>0</v>
      </c>
      <c r="O33" s="471">
        <f t="shared" si="18"/>
        <v>0</v>
      </c>
      <c r="P33" s="471">
        <f t="shared" si="18"/>
        <v>0</v>
      </c>
      <c r="Q33" s="471">
        <f t="shared" ca="1" si="18"/>
        <v>228014.10664484458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13129.661562340396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1.6875</v>
      </c>
      <c r="D8" s="1037">
        <f>'SEAP template'!D76</f>
        <v>1.875</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0.37875000000000003</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13129.661562340396</v>
      </c>
      <c r="C10" s="1041">
        <f>SUM(C4:C9)</f>
        <v>1.6875</v>
      </c>
      <c r="D10" s="1041">
        <f t="shared" ref="D10:H10" si="0">SUM(D8:D9)</f>
        <v>1.875</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0.37875000000000003</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0.21106703075654687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8.4375</v>
      </c>
      <c r="D17" s="1038">
        <f>'SEAP template'!D87</f>
        <v>9.375</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1.89375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8.4375</v>
      </c>
      <c r="D20" s="1041">
        <f t="shared" ref="D20:H20" si="2">SUM(D17:D19)</f>
        <v>9.375</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1.89375</v>
      </c>
    </row>
    <row r="22" spans="1:16">
      <c r="A22" s="474" t="s">
        <v>932</v>
      </c>
      <c r="B22" s="778" t="s">
        <v>926</v>
      </c>
      <c r="C22" s="778">
        <f ca="1">'EF ele_warmte'!B22</f>
        <v>0.22444444444444445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0.21106703075654687</v>
      </c>
      <c r="C17" s="510">
        <f ca="1">'EF ele_warmte'!B22</f>
        <v>0.22444444444444445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2</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38.133333333333333</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2019-08-12T07:55:53Z</dcterms:modified>
</cp:coreProperties>
</file>