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C98" l="1"/>
  <c r="I101" s="1"/>
  <c r="H8" s="1"/>
  <c r="H10" s="1"/>
  <c r="B10"/>
  <c r="O18"/>
  <c r="B17"/>
  <c r="B20" s="1"/>
  <c r="O9"/>
  <c r="O19"/>
  <c r="I102"/>
  <c r="H17" s="1"/>
  <c r="H20" s="1"/>
  <c r="E102"/>
  <c r="E17" s="1"/>
  <c r="E20" s="1"/>
  <c r="G102"/>
  <c r="C102"/>
  <c r="H102"/>
  <c r="D102"/>
  <c r="F102"/>
  <c r="B102"/>
  <c r="C17" s="1"/>
  <c r="E101"/>
  <c r="E8" s="1"/>
  <c r="E10" s="1"/>
  <c r="G101"/>
  <c r="N6" i="17"/>
  <c r="L6"/>
  <c r="F6"/>
  <c r="D6"/>
  <c r="C6"/>
  <c r="N16" i="16"/>
  <c r="L16"/>
  <c r="F16"/>
  <c r="D16"/>
  <c r="C16"/>
  <c r="B16"/>
  <c r="B13" i="15"/>
  <c r="C101" i="18" l="1"/>
  <c r="J8" s="1"/>
  <c r="H101"/>
  <c r="D101"/>
  <c r="F101"/>
  <c r="B101"/>
  <c r="C8" s="1"/>
  <c r="C10"/>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Q20"/>
  <c r="P20"/>
  <c r="P22" s="1"/>
  <c r="O20"/>
  <c r="M20"/>
  <c r="L20"/>
  <c r="K20"/>
  <c r="J20"/>
  <c r="G20"/>
  <c r="D20"/>
  <c r="Q19"/>
  <c r="P19"/>
  <c r="O19"/>
  <c r="O22" s="1"/>
  <c r="M19"/>
  <c r="M22" s="1"/>
  <c r="L19"/>
  <c r="K19"/>
  <c r="J19"/>
  <c r="I19"/>
  <c r="G19"/>
  <c r="G22" s="1"/>
  <c r="F19"/>
  <c r="E19"/>
  <c r="D19"/>
  <c r="Q48"/>
  <c r="P48"/>
  <c r="P52" s="1"/>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C77"/>
  <c r="C9" i="56" s="1"/>
  <c r="D9"/>
  <c r="D10" s="1"/>
  <c r="K90" i="14"/>
  <c r="K18" i="56"/>
  <c r="N78" i="14"/>
  <c r="N8" i="56"/>
  <c r="N10" s="1"/>
  <c r="M78" i="14"/>
  <c r="M8" i="56"/>
  <c r="M10" s="1"/>
  <c r="H78" i="14"/>
  <c r="H9" i="56"/>
  <c r="H10" s="1"/>
  <c r="Q87" i="14"/>
  <c r="P17" i="56" s="1"/>
  <c r="D17"/>
  <c r="K78" i="14"/>
  <c r="K8" i="56"/>
  <c r="K10" s="1"/>
  <c r="O78" i="14"/>
  <c r="O9" i="56"/>
  <c r="L90" i="14"/>
  <c r="L17" i="56"/>
  <c r="L20" s="1"/>
  <c r="G90" i="14"/>
  <c r="G18" i="56"/>
  <c r="O90" i="14"/>
  <c r="O18" i="56"/>
  <c r="O10"/>
  <c r="O20"/>
  <c r="F90" i="14"/>
  <c r="H90"/>
  <c r="M20" i="56"/>
  <c r="K20"/>
  <c r="Q88" i="14"/>
  <c r="P18" i="56" s="1"/>
  <c r="D18"/>
  <c r="C76" i="14"/>
  <c r="C8" i="56" s="1"/>
  <c r="C10" s="1"/>
  <c r="E8"/>
  <c r="E10" s="1"/>
  <c r="C88" i="14"/>
  <c r="C18" i="56" s="1"/>
  <c r="G20"/>
  <c r="L78" i="14"/>
  <c r="N20" i="56"/>
  <c r="G78" i="14"/>
  <c r="Q89"/>
  <c r="P19" i="56" s="1"/>
  <c r="I76" i="14"/>
  <c r="I8" i="56" s="1"/>
  <c r="I10" s="1"/>
  <c r="I87" i="14"/>
  <c r="I17" i="56" s="1"/>
  <c r="I20" s="1"/>
  <c r="D78" i="14"/>
  <c r="Q77"/>
  <c r="O17" i="18"/>
  <c r="O20" s="1"/>
  <c r="J87" i="14"/>
  <c r="B88"/>
  <c r="B18" i="56" s="1"/>
  <c r="C89" i="14"/>
  <c r="C19" i="56" s="1"/>
  <c r="B89" i="14"/>
  <c r="B19" i="56" s="1"/>
  <c r="B77" i="14"/>
  <c r="B9" i="56" s="1"/>
  <c r="O8" i="18"/>
  <c r="O10" s="1"/>
  <c r="N13" i="15"/>
  <c r="L13"/>
  <c r="O24" i="48"/>
  <c r="O30"/>
  <c r="P24"/>
  <c r="P30"/>
  <c r="R9" i="14"/>
  <c r="E78"/>
  <c r="E55"/>
  <c r="R25"/>
  <c r="E90"/>
  <c r="I90"/>
  <c r="M90"/>
  <c r="D90"/>
  <c r="Q90" l="1"/>
  <c r="B17" i="6" s="1"/>
  <c r="P20" i="56"/>
  <c r="B76" i="14"/>
  <c r="D20" i="56"/>
  <c r="J90" i="14"/>
  <c r="J17" i="56"/>
  <c r="J20" s="1"/>
  <c r="J8"/>
  <c r="J10" s="1"/>
  <c r="J78" i="14"/>
  <c r="Q78"/>
  <c r="B9" i="6" s="1"/>
  <c r="P9" i="56"/>
  <c r="P10" s="1"/>
  <c r="C78" i="14"/>
  <c r="I78"/>
  <c r="C87"/>
  <c r="C17" i="56" s="1"/>
  <c r="C20" s="1"/>
  <c r="B87" i="14"/>
  <c r="B8" i="56" l="1"/>
  <c r="B10" s="1"/>
  <c r="B78" i="14"/>
  <c r="B4" i="6" s="1"/>
  <c r="B90" i="14"/>
  <c r="B17" i="56"/>
  <c r="B20" s="1"/>
  <c r="C90" i="14"/>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5" i="48" l="1"/>
  <c r="K29"/>
  <c r="K26"/>
  <c r="K32"/>
  <c r="K31"/>
  <c r="K24"/>
  <c r="K27"/>
  <c r="K22"/>
  <c r="K28"/>
  <c r="K30"/>
  <c r="Q11" i="14"/>
  <c r="P4" i="48"/>
  <c r="B7"/>
  <c r="C24" i="14"/>
  <c r="C26" s="1"/>
  <c r="P11"/>
  <c r="O4" i="48"/>
  <c r="I25"/>
  <c r="I26"/>
  <c r="I28"/>
  <c r="I32"/>
  <c r="I22"/>
  <c r="I27"/>
  <c r="I30"/>
  <c r="I24"/>
  <c r="I31"/>
  <c r="I29"/>
  <c r="E11" i="14"/>
  <c r="D4" i="48"/>
  <c r="D22" s="1"/>
  <c r="H32"/>
  <c r="H26"/>
  <c r="H28"/>
  <c r="H24"/>
  <c r="H22"/>
  <c r="H30"/>
  <c r="H29"/>
  <c r="H25"/>
  <c r="H23"/>
  <c r="D11" i="14"/>
  <c r="C4" i="48"/>
  <c r="G32"/>
  <c r="G26"/>
  <c r="G29"/>
  <c r="G24"/>
  <c r="G30"/>
  <c r="G25"/>
  <c r="G22"/>
  <c r="G23"/>
  <c r="N46" i="14"/>
  <c r="J10"/>
  <c r="J16" s="1"/>
  <c r="J27" s="1"/>
  <c r="I5" i="48"/>
  <c r="J30"/>
  <c r="J24"/>
  <c r="J32"/>
  <c r="J29"/>
  <c r="J28"/>
  <c r="J31"/>
  <c r="J27"/>
  <c r="B4"/>
  <c r="C11" i="14"/>
  <c r="F32" i="48"/>
  <c r="F24"/>
  <c r="F28"/>
  <c r="F27"/>
  <c r="F30"/>
  <c r="F31"/>
  <c r="F29"/>
  <c r="N30"/>
  <c r="N31"/>
  <c r="N28"/>
  <c r="N24"/>
  <c r="N27"/>
  <c r="N32"/>
  <c r="N29"/>
  <c r="C19" i="14"/>
  <c r="B10" i="48"/>
  <c r="E31"/>
  <c r="E29"/>
  <c r="E32"/>
  <c r="E28"/>
  <c r="E24"/>
  <c r="E30"/>
  <c r="M12" i="13"/>
  <c r="N41" i="14" s="1"/>
  <c r="M17" i="48"/>
  <c r="L10" i="14"/>
  <c r="L16" s="1"/>
  <c r="L27" s="1"/>
  <c r="K5" i="48"/>
  <c r="D29"/>
  <c r="D30"/>
  <c r="D31"/>
  <c r="D28"/>
  <c r="D32"/>
  <c r="D24"/>
  <c r="L29"/>
  <c r="L27"/>
  <c r="L31"/>
  <c r="L32"/>
  <c r="L22"/>
  <c r="L28"/>
  <c r="L30"/>
  <c r="L24"/>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G11" i="14" l="1"/>
  <c r="F4" i="48"/>
  <c r="F22" s="1"/>
  <c r="I18" i="14"/>
  <c r="H13" i="48"/>
  <c r="H31" s="1"/>
  <c r="Q13" i="14"/>
  <c r="P8" i="48"/>
  <c r="P26" s="1"/>
  <c r="I15"/>
  <c r="I23"/>
  <c r="P15"/>
  <c r="P22"/>
  <c r="H18" i="14"/>
  <c r="G13" i="48"/>
  <c r="N18" i="14"/>
  <c r="M13" i="48"/>
  <c r="M31" s="1"/>
  <c r="M29"/>
  <c r="M32"/>
  <c r="M22"/>
  <c r="M25"/>
  <c r="M26"/>
  <c r="M30"/>
  <c r="M24"/>
  <c r="M23"/>
  <c r="P10" i="14"/>
  <c r="O5" i="48"/>
  <c r="O23" s="1"/>
  <c r="J12" i="17"/>
  <c r="K54" i="14" s="1"/>
  <c r="K56" s="1"/>
  <c r="J7" i="48"/>
  <c r="J25" s="1"/>
  <c r="K24" i="14"/>
  <c r="K26" s="1"/>
  <c r="K23" i="48"/>
  <c r="K15"/>
  <c r="O22"/>
  <c r="Q16" i="14"/>
  <c r="Q27" s="1"/>
  <c r="L63"/>
  <c r="J46"/>
  <c r="J61" s="1"/>
  <c r="J63" s="1"/>
  <c r="I33" i="48"/>
  <c r="K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E4" i="48"/>
  <c r="F11" i="14"/>
  <c r="R11" s="1"/>
  <c r="O11"/>
  <c r="N4" i="48"/>
  <c r="N22" s="1"/>
  <c r="M10"/>
  <c r="M28" s="1"/>
  <c r="N19" i="14"/>
  <c r="D9" i="48"/>
  <c r="D27" s="1"/>
  <c r="E20" i="14"/>
  <c r="E22" s="1"/>
  <c r="C20"/>
  <c r="B9" i="48"/>
  <c r="R18" i="14"/>
  <c r="P33" i="48"/>
  <c r="D18" i="22"/>
  <c r="E50" i="14" s="1"/>
  <c r="E52" s="1"/>
  <c r="Q46"/>
  <c r="Q61" s="1"/>
  <c r="Q63" s="1"/>
  <c r="I52"/>
  <c r="I61" s="1"/>
  <c r="I63" s="1"/>
  <c r="E9" i="48"/>
  <c r="E27" s="1"/>
  <c r="F20" i="14"/>
  <c r="F22" s="1"/>
  <c r="I20"/>
  <c r="H9" i="48"/>
  <c r="P13" i="14"/>
  <c r="P16" s="1"/>
  <c r="P27" s="1"/>
  <c r="O8" i="48"/>
  <c r="G31"/>
  <c r="Q13"/>
  <c r="H19" i="14"/>
  <c r="R19" s="1"/>
  <c r="G10" i="48"/>
  <c r="J4"/>
  <c r="K11" i="14"/>
  <c r="M9" i="48"/>
  <c r="N20" i="14"/>
  <c r="F24"/>
  <c r="F26" s="1"/>
  <c r="E7" i="48"/>
  <c r="E25" s="1"/>
  <c r="I22" i="14"/>
  <c r="I27" s="1"/>
  <c r="N22"/>
  <c r="N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20" l="1"/>
  <c r="H22" s="1"/>
  <c r="H27" s="1"/>
  <c r="G9" i="48"/>
  <c r="K10" i="14"/>
  <c r="J5" i="48"/>
  <c r="J23" s="1"/>
  <c r="G28"/>
  <c r="Q10"/>
  <c r="J22"/>
  <c r="E5"/>
  <c r="E23" s="1"/>
  <c r="F10" i="14"/>
  <c r="H27" i="48"/>
  <c r="H33" s="1"/>
  <c r="H15"/>
  <c r="N63" i="14"/>
  <c r="E46"/>
  <c r="E61" s="1"/>
  <c r="C22"/>
  <c r="E22" i="48"/>
  <c r="Q4"/>
  <c r="M27"/>
  <c r="M33" s="1"/>
  <c r="M15"/>
  <c r="O26"/>
  <c r="O33" s="1"/>
  <c r="O15"/>
  <c r="G18" i="22"/>
  <c r="H50" i="14" s="1"/>
  <c r="H52" s="1"/>
  <c r="H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K16" s="1"/>
  <c r="K27" s="1"/>
  <c r="K63" s="1"/>
  <c r="J8" i="48"/>
  <c r="J26" s="1"/>
  <c r="K46" i="14"/>
  <c r="K61" s="1"/>
  <c r="R20"/>
  <c r="R22" s="1"/>
  <c r="H63"/>
  <c r="E15" i="48"/>
  <c r="E8"/>
  <c r="E26" s="1"/>
  <c r="F13" i="14"/>
  <c r="F16" s="1"/>
  <c r="F27" s="1"/>
  <c r="F63" s="1"/>
  <c r="Q5" i="48"/>
  <c r="E63" i="14"/>
  <c r="E33" i="48"/>
  <c r="Q9"/>
  <c r="J33"/>
  <c r="J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O63" l="1"/>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<sst xmlns="http://schemas.openxmlformats.org/spreadsheetml/2006/main" count="2486" uniqueCount="948">
  <si>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</si>
  <si>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</si>
  <si>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</si>
  <si>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</si>
  <si>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</si>
  <si>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</si>
  <si>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</si>
  <si>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</si>
  <si>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</si>
  <si>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</si>
  <si>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</si>
  <si>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</si>
  <si>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</si>
  <si>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</si>
  <si>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</si>
  <si>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</si>
  <si>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</si>
  <si>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</si>
  <si>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</si>
  <si>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</si>
  <si>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</si>
  <si>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</si>
  <si>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</si>
  <si>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</si>
  <si>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</si>
  <si>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</si>
  <si>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</si>
  <si>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</si>
  <si>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</si>
  <si>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</si>
  <si>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</si>
  <si>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</si>
  <si>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</si>
  <si>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</si>
  <si>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</si>
  <si>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</si>
  <si>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</si>
  <si>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</si>
  <si>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</si>
  <si>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</si>
  <si>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</si>
  <si>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</si>
  <si>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</si>
  <si>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</si>
  <si>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</si>
  <si>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</si>
  <si>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</si>
  <si>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</si>
  <si>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</si>
  <si>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</si>
  <si>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</si>
  <si>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</si>
  <si>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</si>
  <si>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</si>
  <si>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</si>
  <si>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</si>
  <si>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</si>
  <si>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</si>
  <si>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</si>
  <si>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</si>
  <si>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</si>
  <si>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</si>
  <si>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</si>
  <si>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</si>
  <si>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</si>
  <si>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</si>
  <si>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</si>
  <si>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</si>
  <si>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</si>
  <si>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</si>
  <si>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</si>
  <si>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</si>
  <si>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</si>
  <si>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</si>
  <si>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</si>
  <si>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</si>
  <si>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</si>
  <si>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</si>
  <si>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</si>
  <si>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</si>
  <si>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</si>
  <si>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</si>
  <si>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</si>
  <si>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</si>
  <si>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</si>
  <si>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</si>
  <si>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</si>
  <si>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</si>
  <si>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</si>
  <si>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</si>
  <si>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</si>
  <si>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</si>
  <si>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</si>
  <si>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</si>
  <si>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</si>
  <si>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</si>
  <si>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</si>
  <si>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</si>
  <si>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</si>
  <si>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</si>
  <si>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</si>
  <si>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</si>
  <si>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</si>
  <si>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</si>
  <si>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</si>
  <si>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</si>
  <si>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</si>
  <si>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</si>
  <si>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</si>
  <si>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</si>
  <si>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</si>
  <si>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</si>
  <si>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</si>
  <si>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</si>
  <si>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</si>
  <si>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</si>
  <si>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</si>
  <si>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</si>
  <si>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</si>
  <si>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</si>
  <si>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</si>
  <si>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</si>
  <si>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</si>
  <si>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</si>
  <si>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</si>
  <si>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</si>
  <si>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</si>
  <si>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</si>
  <si>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</si>
  <si>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</si>
  <si>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</si>
  <si>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</si>
  <si>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</si>
  <si>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</si>
  <si>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</si>
  <si>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</si>
  <si>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</si>
  <si>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</si>
  <si>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</si>
  <si>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</si>
  <si>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</si>
  <si>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</si>
  <si>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</si>
  <si>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</si>
  <si>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</si>
  <si>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</si>
  <si>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</si>
  <si>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</si>
  <si>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</si>
  <si>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</si>
  <si>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</si>
  <si>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</si>
  <si>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</si>
  <si>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</si>
  <si>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</si>
  <si>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</si>
  <si>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</si>
  <si>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</si>
  <si>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</si>
  <si>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</si>
  <si>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</si>
  <si>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</si>
  <si>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</si>
  <si>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</si>
  <si>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</si>
  <si>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</si>
  <si>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</si>
  <si>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</si>
  <si>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</si>
  <si>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</si>
  <si>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</si>
  <si>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</si>
  <si>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</si>
  <si>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</si>
  <si>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</si>
  <si>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</si>
  <si>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</si>
  <si>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</si>
  <si>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</si>
  <si>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</si>
  <si>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</si>
  <si>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</si>
  <si>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</si>
  <si>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</si>
  <si>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</si>
  <si>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</si>
  <si>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</si>
  <si>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</si>
  <si>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</si>
  <si>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</si>
  <si>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</si>
  <si>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</si>
  <si>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</si>
  <si>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</si>
  <si>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</si>
  <si>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</si>
  <si>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</si>
  <si>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</si>
  <si>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</si>
  <si>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</si>
  <si>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</si>
  <si>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</si>
  <si>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</si>
  <si>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</si>
  <si>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</si>
  <si>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</si>
  <si>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</si>
  <si>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</si>
  <si>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</si>
  <si>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</si>
  <si>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</si>
  <si>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</si>
  <si>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</si>
  <si>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</si>
  <si>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</si>
  <si>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</si>
  <si>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</si>
  <si>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</si>
  <si>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</si>
  <si>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</si>
  <si>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</si>
  <si>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</si>
  <si>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</si>
  <si>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</si>
  <si>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</si>
  <si>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</si>
  <si>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</si>
  <si>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</si>
  <si>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</si>
  <si>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</si>
  <si>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</si>
  <si>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</si>
  <si>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</si>
  <si>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</si>
  <si>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</si>
  <si>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</si>
  <si>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</si>
  <si>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</si>
  <si>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</si>
  <si>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</si>
  <si>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</si>
  <si>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</si>
  <si>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</si>
  <si>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</si>
  <si>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</si>
  <si>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</si>
  <si>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</si>
  <si>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</si>
  <si>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</si>
  <si>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</si>
  <si>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</si>
  <si>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</si>
  <si>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</si>
  <si>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</si>
  <si>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</si>
  <si>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</si>
  <si>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</si>
  <si>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</si>
  <si>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</si>
  <si>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</si>
  <si>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</si>
  <si>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</si>
  <si>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</si>
  <si>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</si>
  <si>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</si>
  <si>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</si>
  <si>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</si>
  <si>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</si>
  <si>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</si>
  <si>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</si>
  <si>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</si>
  <si>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</si>
  <si>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</si>
  <si>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</si>
  <si>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</si>
  <si>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</si>
  <si>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</si>
  <si>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</si>
  <si>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</si>
  <si>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</si>
  <si>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</si>
  <si>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</si>
  <si>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</si>
  <si>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</si>
  <si>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</si>
  <si>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</si>
  <si>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</si>
  <si>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</si>
  <si>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</si>
  <si>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</si>
  <si>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</si>
  <si>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</si>
  <si>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</si>
  <si>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</si>
  <si>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</si>
  <si>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</si>
  <si>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</si>
  <si>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</si>
  <si>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</si>
  <si>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</si>
  <si>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</si>
  <si>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</si>
  <si>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</si>
  <si>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</si>
  <si>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</si>
  <si>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</si>
  <si>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</si>
  <si>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</si>
  <si>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</si>
  <si>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</si>
  <si>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</si>
  <si>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</si>
  <si>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</si>
  <si>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</si>
  <si>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</si>
  <si>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</si>
  <si>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</si>
  <si>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</si>
  <si>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</si>
  <si>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</si>
  <si>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</si>
  <si>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</si>
  <si>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</si>
  <si>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</si>
  <si>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</si>
  <si>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</si>
  <si>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</si>
  <si>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</si>
  <si>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</si>
  <si>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</si>
  <si>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</si>
  <si>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</si>
  <si>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</si>
  <si>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</si>
  <si>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</si>
  <si>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</si>
  <si>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</si>
  <si>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</si>
  <si>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</si>
  <si>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</si>
  <si>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</si>
  <si>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</si>
  <si>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</si>
  <si>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</si>
  <si>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</si>
  <si>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</si>
  <si>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</si>
  <si>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</si>
  <si>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</si>
  <si>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</si>
  <si>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</si>
  <si>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</si>
  <si>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</si>
  <si>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</si>
  <si>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</si>
  <si>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</si>
  <si>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</si>
  <si>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</si>
  <si>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</si>
  <si>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</si>
  <si>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</si>
  <si>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</si>
  <si>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</si>
  <si>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</si>
  <si>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</si>
  <si>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</si>
  <si>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</si>
  <si>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</si>
  <si>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</si>
  <si>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</si>
  <si>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</si>
  <si>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</si>
  <si>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</si>
  <si>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</si>
  <si>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</si>
  <si>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</si>
  <si>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</si>
  <si>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</si>
  <si>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</si>
  <si>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</si>
  <si>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</si>
  <si>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</si>
  <si>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</si>
  <si>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</si>
  <si>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</si>
  <si>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</si>
  <si>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</si>
  <si>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</si>
  <si>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</si>
  <si>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</si>
  <si>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</si>
  <si>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</si>
  <si>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</si>
  <si>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</si>
  <si>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</si>
  <si>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</si>
  <si>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</si>
  <si>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</si>
  <si>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</si>
  <si>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</si>
  <si>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</si>
  <si>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</si>
  <si>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</si>
  <si>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</si>
  <si>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</si>
  <si>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</si>
  <si>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</si>
  <si>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</si>
  <si>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</si>
  <si>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</si>
  <si>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</si>
  <si>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</si>
  <si>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</si>
  <si>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</si>
  <si>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</si>
  <si>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</si>
  <si>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</si>
  <si>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</si>
  <si>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</si>
  <si>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</si>
  <si>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</si>
  <si>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</si>
  <si>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</si>
  <si>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</si>
  <si>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</si>
  <si>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</si>
  <si>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</si>
  <si>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</si>
  <si>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</si>
  <si>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</si>
  <si>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</si>
  <si>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</si>
  <si>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</si>
  <si>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</si>
  <si>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</si>
  <si>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</si>
  <si>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</si>
  <si>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</si>
  <si>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</si>
  <si>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</si>
  <si>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</si>
  <si>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</si>
  <si>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</si>
  <si>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</si>
  <si>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</si>
  <si>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</si>
  <si>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</si>
  <si>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</si>
  <si>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</si>
  <si>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</si>
  <si>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</si>
  <si>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</si>
  <si>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</si>
  <si>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</si>
  <si>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</si>
  <si>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</si>
  <si>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</si>
  <si>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</si>
  <si>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</si>
  <si>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</si>
  <si>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</si>
  <si>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</si>
  <si>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</si>
  <si>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</si>
  <si>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</si>
  <si>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</si>
  <si>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</si>
  <si>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</si>
  <si>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</si>
  <si>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</si>
  <si>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</si>
  <si>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</si>
  <si>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</si>
  <si>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</si>
  <si>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</si>
  <si>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</si>
  <si>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</si>
  <si>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</si>
  <si>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</si>
  <si>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</si>
  <si>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</si>
  <si>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</si>
  <si>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</si>
  <si>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</si>
  <si>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</si>
  <si>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</si>
  <si>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</si>
  <si>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</si>
  <si>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</si>
  <si>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</si>
  <si>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</si>
  <si>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</si>
  <si>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</si>
  <si>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</si>
  <si>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</si>
  <si>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</si>
  <si>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</si>
  <si>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</si>
  <si>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</si>
  <si>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</si>
  <si>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</si>
  <si>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</si>
  <si>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</si>
  <si>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</si>
  <si>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</si>
  <si>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</si>
  <si>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</si>
  <si>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</si>
  <si>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</si>
  <si>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</si>
  <si>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</si>
  <si>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</si>
  <si>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</si>
  <si>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</si>
  <si>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</si>
  <si>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</si>
  <si>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</si>
  <si>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</si>
  <si>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</si>
  <si>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</si>
  <si>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</si>
  <si>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</si>
  <si>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</si>
  <si>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</si>
  <si>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</si>
  <si>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</si>
  <si>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</si>
  <si>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</si>
  <si>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</si>
  <si>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</si>
  <si>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</si>
  <si>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</si>
  <si>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</si>
  <si>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</si>
  <si>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</si>
  <si>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</si>
  <si>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</si>
  <si>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</si>
  <si>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</si>
  <si>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</si>
  <si>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</si>
  <si>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</si>
  <si>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</si>
  <si>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</si>
  <si>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</si>
  <si>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</si>
  <si>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</si>
  <si>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</si>
  <si>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</si>
  <si>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</si>
  <si>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</si>
  <si>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</si>
  <si>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</si>
  <si>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</si>
  <si>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</si>
  <si>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</si>
  <si>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</si>
  <si>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</si>
  <si>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</si>
  <si>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</si>
  <si>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</si>
  <si>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</si>
  <si>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</si>
  <si>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</si>
  <si>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</si>
  <si>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</si>
  <si>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</si>
  <si>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</si>
  <si>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</si>
  <si>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</si>
  <si>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</si>
  <si>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</si>
  <si>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</si>
  <si>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</si>
  <si>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</si>
  <si>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</si>
  <si>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</si>
  <si>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</si>
  <si>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</si>
  <si>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</si>
  <si>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</si>
  <si>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</si>
  <si>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</si>
  <si>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</si>
  <si>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</si>
  <si>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</si>
  <si>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</si>
  <si>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</si>
  <si>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</si>
  <si>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</si>
  <si>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</si>
  <si>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</si>
  <si>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</si>
  <si>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</si>
  <si>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</si>
  <si>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</si>
  <si>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</si>
  <si>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</si>
  <si>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</si>
  <si>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</si>
  <si>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</si>
  <si>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</si>
  <si>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</si>
  <si>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</si>
  <si>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</si>
  <si>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</si>
  <si>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</si>
  <si>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</si>
  <si>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</si>
  <si>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</si>
  <si>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</si>
  <si>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</si>
  <si>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</si>
  <si>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</si>
  <si>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</si>
  <si>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</si>
  <si>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</si>
  <si>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</si>
  <si>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</si>
  <si>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</si>
  <si>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</si>
  <si>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</si>
  <si>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</si>
  <si>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</si>
  <si>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</si>
  <si>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</si>
  <si>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</si>
  <si>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</si>
  <si>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</si>
  <si>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</si>
  <si>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</si>
  <si>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</si>
  <si>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</si>
  <si>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</si>
  <si>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</si>
  <si>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</si>
  <si>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</si>
  <si>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</si>
  <si>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</si>
  <si>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</si>
  <si>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</si>
  <si>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</si>
  <si>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</si>
  <si>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</si>
  <si>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</si>
  <si>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</si>
  <si>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</si>
  <si>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</si>
  <si>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</si>
  <si>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</si>
  <si>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</si>
  <si>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</si>
  <si>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</si>
  <si>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</si>
  <si>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</si>
  <si>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</si>
  <si>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</si>
  <si>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</si>
  <si>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</si>
  <si>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</si>
  <si>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</si>
  <si>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</si>
  <si>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</si>
  <si>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</si>
  <si>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</si>
  <si>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</si>
  <si>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</si>
  <si>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</si>
  <si>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</si>
  <si>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</si>
  <si>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</si>
  <si>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</si>
  <si>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</si>
  <si>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</si>
  <si>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</si>
  <si>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</si>
  <si>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</si>
  <si>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</si>
  <si>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</si>
  <si>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</si>
  <si>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</si>
  <si>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</si>
  <si>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</si>
  <si>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</si>
  <si>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</si>
  <si>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</si>
  <si>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</si>
  <si>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</si>
  <si>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</si>
  <si>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</si>
  <si>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</si>
  <si>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</si>
  <si>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</si>
  <si>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</si>
  <si>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</si>
  <si>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</si>
  <si>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</si>
  <si>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</si>
  <si>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</si>
  <si>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</si>
  <si>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</si>
  <si>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</si>
  <si>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</si>
  <si>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</si>
  <si>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</si>
  <si>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</si>
  <si>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</si>
  <si>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</si>
  <si>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</si>
  <si>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</si>
  <si>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</si>
  <si>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</si>
  <si>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</si>
  <si>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</si>
  <si>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</si>
  <si>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</si>
  <si>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</si>
  <si>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</si>
  <si>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</si>
  <si>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</si>
  <si>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</si>
  <si>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</si>
  <si>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</si>
  <si>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</si>
  <si>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</si>
  <si>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</si>
  <si>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</si>
  <si>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</si>
  <si>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</si>
  <si>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</si>
  <si>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</si>
  <si>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</si>
  <si>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</si>
  <si>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</si>
  <si>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</si>
  <si>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</si>
  <si>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</si>
  <si>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</si>
  <si>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</si>
  <si>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</si>
  <si>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</si>
  <si>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</si>
  <si>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</si>
  <si>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</si>
  <si>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</si>
  <si>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</si>
  <si>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</si>
  <si>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</si>
  <si>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</si>
  <si>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</si>
  <si>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</si>
  <si>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</si>
  <si>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</si>
  <si>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</si>
  <si>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</si>
  <si>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</si>
  <si>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</si>
  <si>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</si>
  <si>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</si>
  <si>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</si>
  <si>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</si>
  <si>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</si>
  <si>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</si>
  <si>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</si>
  <si>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</si>
  <si>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</si>
  <si>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</si>
  <si>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</si>
  <si>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</si>
  <si>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</si>
  <si>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</si>
  <si>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</si>
  <si>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</si>
  <si>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</si>
  <si>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</si>
  <si>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</si>
  <si>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</si>
  <si>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</si>
  <si>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</si>
  <si>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</si>
  <si>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</si>
  <si>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</si>
  <si>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</si>
  <si>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</si>
  <si>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</si>
  <si>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</si>
  <si>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</si>
  <si>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</si>
  <si>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</si>
  <si>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</si>
  <si>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</si>
  <si>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</si>
  <si>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</si>
  <si>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</si>
  <si>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</si>
  <si>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</si>
  <si>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</si>
  <si>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</si>
  <si>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</si>
  <si>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</si>
  <si>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</si>
  <si>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</si>
  <si>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</si>
  <si>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</si>
  <si>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</si>
  <si>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</si>
  <si>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</si>
  <si>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</si>
  <si>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</si>
  <si>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</si>
  <si>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</si>
  <si>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</si>
  <si>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</si>
  <si>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</si>
  <si>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</si>
  <si>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</si>
  <si>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</si>
  <si>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</si>
  <si>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</si>
  <si>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</si>
  <si>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</si>
  <si>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</si>
  <si>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</si>
  <si>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</si>
  <si>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</si>
  <si>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</si>
  <si>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</si>
  <si>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</si>
  <si>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</si>
  <si>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</si>
  <si>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</si>
  <si>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</si>
  <si>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</si>
  <si>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</si>
  <si>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</si>
  <si>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</si>
  <si>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</si>
  <si>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</si>
  <si>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</si>
  <si>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</si>
  <si>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</si>
  <si>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</si>
  <si>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</si>
  <si>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</si>
  <si>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</si>
  <si>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</si>
  <si>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</si>
  <si>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</si>
  <si>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</si>
  <si>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</si>
  <si>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</si>
  <si>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</si>
  <si>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</si>
  <si>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</si>
  <si>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</si>
  <si>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</si>
  <si>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</si>
  <si>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</si>
  <si>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</si>
  <si>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</si>
  <si>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</si>
  <si>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</si>
  <si>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</si>
  <si>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</si>
  <si>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</si>
  <si>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</si>
  <si>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</si>
  <si>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</si>
  <si>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</si>
  <si>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</si>
  <si>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</si>
  <si>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</si>
  <si>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</si>
  <si>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</si>
  <si>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</si>
  <si>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</si>
  <si>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</si>
  <si>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</si>
  <si>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</si>
  <si>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</si>
  <si>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</si>
  <si>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</si>
  <si>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</si>
  <si>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</si>
  <si>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</si>
  <si>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</si>
  <si>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</si>
  <si>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</si>
  <si>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</si>
  <si>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</si>
  <si>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</si>
  <si>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</si>
  <si>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</si>
  <si>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</si>
  <si>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</si>
  <si>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</si>
  <si>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</si>
  <si>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</si>
  <si>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</si>
  <si>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</si>
  <si>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</si>
  <si>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</si>
  <si>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</si>
  <si>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</si>
  <si>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</si>
  <si>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</si>
  <si>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</si>
  <si>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</si>
  <si>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</si>
  <si>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</si>
  <si>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</si>
  <si>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</si>
  <si>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</si>
  <si>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</si>
  <si>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</si>
  <si>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</si>
  <si>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</si>
  <si>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</si>
  <si>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</si>
  <si>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</si>
  <si>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</si>
  <si>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</si>
  <si>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</si>
  <si>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</si>
  <si>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</si>
  <si>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</si>
  <si>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</si>
  <si>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</si>
  <si>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</si>
  <si>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</si>
  <si>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</si>
  <si>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</si>
  <si>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</si>
  <si>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</si>
  <si>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</si>
  <si>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</si>
  <si>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</si>
  <si>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</si>
  <si>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</si>
  <si>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</si>
  <si>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</si>
  <si>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</si>
  <si>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44036</t>
  </si>
  <si>
    <t>LOVENDEGEM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</si>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</sst>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44036</v>
      </c>
      <c r="B6" s="397"/>
      <c r="C6" s="398"/>
    </row>
    <row r="7" spans="1:7" s="395" customFormat="1" ht="15.75" customHeight="1">
      <c r="A7" s="399" t="str">
        <f>txtMunicipality</f>
        <v>LOVENDEGEM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0.20969127735642823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0.20969127735642823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44036</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3911</v>
      </c>
      <c r="C9" s="338">
        <v>4121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1049</v>
      </c>
    </row>
    <row r="15" spans="1:6">
      <c r="A15" s="1286" t="s">
        <v>184</v>
      </c>
      <c r="B15" s="335">
        <v>12</v>
      </c>
    </row>
    <row r="16" spans="1:6">
      <c r="A16" s="1286" t="s">
        <v>6</v>
      </c>
      <c r="B16" s="335">
        <v>665</v>
      </c>
    </row>
    <row r="17" spans="1:6">
      <c r="A17" s="1286" t="s">
        <v>7</v>
      </c>
      <c r="B17" s="335">
        <v>282</v>
      </c>
    </row>
    <row r="18" spans="1:6">
      <c r="A18" s="1286" t="s">
        <v>8</v>
      </c>
      <c r="B18" s="335">
        <v>642</v>
      </c>
    </row>
    <row r="19" spans="1:6">
      <c r="A19" s="1286" t="s">
        <v>9</v>
      </c>
      <c r="B19" s="335">
        <v>643</v>
      </c>
    </row>
    <row r="20" spans="1:6">
      <c r="A20" s="1286" t="s">
        <v>10</v>
      </c>
      <c r="B20" s="335">
        <v>462</v>
      </c>
    </row>
    <row r="21" spans="1:6">
      <c r="A21" s="1286" t="s">
        <v>11</v>
      </c>
      <c r="B21" s="335">
        <v>5793</v>
      </c>
    </row>
    <row r="22" spans="1:6">
      <c r="A22" s="1286" t="s">
        <v>12</v>
      </c>
      <c r="B22" s="335">
        <v>5767</v>
      </c>
    </row>
    <row r="23" spans="1:6">
      <c r="A23" s="1286" t="s">
        <v>13</v>
      </c>
      <c r="B23" s="335">
        <v>277</v>
      </c>
    </row>
    <row r="24" spans="1:6">
      <c r="A24" s="1286" t="s">
        <v>14</v>
      </c>
      <c r="B24" s="335">
        <v>12</v>
      </c>
    </row>
    <row r="25" spans="1:6">
      <c r="A25" s="1286" t="s">
        <v>15</v>
      </c>
      <c r="B25" s="335">
        <v>1230</v>
      </c>
    </row>
    <row r="26" spans="1:6">
      <c r="A26" s="1286" t="s">
        <v>16</v>
      </c>
      <c r="B26" s="335">
        <v>50</v>
      </c>
    </row>
    <row r="27" spans="1:6">
      <c r="A27" s="1286" t="s">
        <v>17</v>
      </c>
      <c r="B27" s="335">
        <v>0</v>
      </c>
    </row>
    <row r="28" spans="1:6" s="341" customFormat="1">
      <c r="A28" s="1287" t="s">
        <v>18</v>
      </c>
      <c r="B28" s="1287">
        <v>111</v>
      </c>
    </row>
    <row r="29" spans="1:6">
      <c r="A29" s="1287" t="s">
        <v>944</v>
      </c>
      <c r="B29" s="1287">
        <v>7</v>
      </c>
      <c r="C29" s="341"/>
      <c r="D29" s="341"/>
      <c r="E29" s="341"/>
      <c r="F29" s="341"/>
    </row>
    <row r="30" spans="1:6">
      <c r="A30" s="1282" t="s">
        <v>945</v>
      </c>
      <c r="B30" s="1282">
        <v>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5127</v>
      </c>
    </row>
    <row r="39" spans="1:6">
      <c r="A39" s="1286" t="s">
        <v>30</v>
      </c>
      <c r="B39" s="1286" t="s">
        <v>31</v>
      </c>
      <c r="C39" s="335">
        <v>1799</v>
      </c>
      <c r="D39" s="335">
        <v>33104300.860149801</v>
      </c>
      <c r="E39" s="335">
        <v>3718</v>
      </c>
      <c r="F39" s="335">
        <v>19455804.211278699</v>
      </c>
    </row>
    <row r="40" spans="1:6">
      <c r="A40" s="1286" t="s">
        <v>30</v>
      </c>
      <c r="B40" s="1286" t="s">
        <v>29</v>
      </c>
      <c r="C40" s="335">
        <v>0</v>
      </c>
      <c r="D40" s="335">
        <v>0</v>
      </c>
      <c r="E40" s="335">
        <v>0</v>
      </c>
      <c r="F40" s="335">
        <v>0</v>
      </c>
    </row>
    <row r="41" spans="1:6">
      <c r="A41" s="1286" t="s">
        <v>32</v>
      </c>
      <c r="B41" s="1286" t="s">
        <v>33</v>
      </c>
      <c r="C41" s="335">
        <v>6</v>
      </c>
      <c r="D41" s="335">
        <v>178240.20367772301</v>
      </c>
      <c r="E41" s="335">
        <v>42</v>
      </c>
      <c r="F41" s="335">
        <v>562319.51081571705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27972.5752994342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5</v>
      </c>
      <c r="F47" s="335">
        <v>144747.77979820099</v>
      </c>
    </row>
    <row r="48" spans="1:6">
      <c r="A48" s="1286" t="s">
        <v>32</v>
      </c>
      <c r="B48" s="1286" t="s">
        <v>29</v>
      </c>
      <c r="C48" s="335">
        <v>28</v>
      </c>
      <c r="D48" s="335">
        <v>661796.12426357402</v>
      </c>
      <c r="E48" s="335">
        <v>34</v>
      </c>
      <c r="F48" s="335">
        <v>357996.08169394598</v>
      </c>
    </row>
    <row r="49" spans="1:6">
      <c r="A49" s="1286" t="s">
        <v>32</v>
      </c>
      <c r="B49" s="1286" t="s">
        <v>40</v>
      </c>
      <c r="C49" s="335">
        <v>0</v>
      </c>
      <c r="D49" s="335">
        <v>0</v>
      </c>
      <c r="E49" s="335">
        <v>0</v>
      </c>
      <c r="F49" s="335">
        <v>0</v>
      </c>
    </row>
    <row r="50" spans="1:6">
      <c r="A50" s="1286" t="s">
        <v>32</v>
      </c>
      <c r="B50" s="1286" t="s">
        <v>41</v>
      </c>
      <c r="C50" s="335">
        <v>4</v>
      </c>
      <c r="D50" s="335">
        <v>7798183.8498460399</v>
      </c>
      <c r="E50" s="335">
        <v>5</v>
      </c>
      <c r="F50" s="335">
        <v>8335396.0899830004</v>
      </c>
    </row>
    <row r="51" spans="1:6">
      <c r="A51" s="1286" t="s">
        <v>42</v>
      </c>
      <c r="B51" s="1286" t="s">
        <v>43</v>
      </c>
      <c r="C51" s="335">
        <v>3</v>
      </c>
      <c r="D51" s="335">
        <v>81451.381797342998</v>
      </c>
      <c r="E51" s="335">
        <v>54</v>
      </c>
      <c r="F51" s="335">
        <v>1133509.7544495401</v>
      </c>
    </row>
    <row r="52" spans="1:6">
      <c r="A52" s="1286" t="s">
        <v>42</v>
      </c>
      <c r="B52" s="1286" t="s">
        <v>29</v>
      </c>
      <c r="C52" s="335">
        <v>3</v>
      </c>
      <c r="D52" s="335">
        <v>61604.783791994101</v>
      </c>
      <c r="E52" s="335">
        <v>8</v>
      </c>
      <c r="F52" s="335">
        <v>97584.424174878106</v>
      </c>
    </row>
    <row r="53" spans="1:6">
      <c r="A53" s="1286" t="s">
        <v>44</v>
      </c>
      <c r="B53" s="1286" t="s">
        <v>45</v>
      </c>
      <c r="C53" s="335">
        <v>35</v>
      </c>
      <c r="D53" s="335">
        <v>865138.27703316999</v>
      </c>
      <c r="E53" s="335">
        <v>78</v>
      </c>
      <c r="F53" s="335">
        <v>428725.19650324801</v>
      </c>
    </row>
    <row r="54" spans="1:6">
      <c r="A54" s="1286" t="s">
        <v>46</v>
      </c>
      <c r="B54" s="1286" t="s">
        <v>47</v>
      </c>
      <c r="C54" s="335">
        <v>0</v>
      </c>
      <c r="D54" s="335">
        <v>0</v>
      </c>
      <c r="E54" s="335">
        <v>2</v>
      </c>
      <c r="F54" s="335">
        <v>850934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11</v>
      </c>
      <c r="D57" s="335">
        <v>383592.56128081598</v>
      </c>
      <c r="E57" s="335">
        <v>76</v>
      </c>
      <c r="F57" s="335">
        <v>738818.76415485702</v>
      </c>
    </row>
    <row r="58" spans="1:6">
      <c r="A58" s="1286" t="s">
        <v>49</v>
      </c>
      <c r="B58" s="1286" t="s">
        <v>51</v>
      </c>
      <c r="C58" s="335">
        <v>10</v>
      </c>
      <c r="D58" s="335">
        <v>4318649.4824981997</v>
      </c>
      <c r="E58" s="335">
        <v>22</v>
      </c>
      <c r="F58" s="335">
        <v>492500.340726503</v>
      </c>
    </row>
    <row r="59" spans="1:6">
      <c r="A59" s="1286" t="s">
        <v>49</v>
      </c>
      <c r="B59" s="1286" t="s">
        <v>52</v>
      </c>
      <c r="C59" s="335">
        <v>12</v>
      </c>
      <c r="D59" s="335">
        <v>504643.44911249098</v>
      </c>
      <c r="E59" s="335">
        <v>76</v>
      </c>
      <c r="F59" s="335">
        <v>2411145.4966993299</v>
      </c>
    </row>
    <row r="60" spans="1:6">
      <c r="A60" s="1286" t="s">
        <v>49</v>
      </c>
      <c r="B60" s="1286" t="s">
        <v>53</v>
      </c>
      <c r="C60" s="335">
        <v>20</v>
      </c>
      <c r="D60" s="335">
        <v>969158.35812894802</v>
      </c>
      <c r="E60" s="335">
        <v>34</v>
      </c>
      <c r="F60" s="335">
        <v>800257.64241345797</v>
      </c>
    </row>
    <row r="61" spans="1:6">
      <c r="A61" s="1286" t="s">
        <v>49</v>
      </c>
      <c r="B61" s="1286" t="s">
        <v>54</v>
      </c>
      <c r="C61" s="335">
        <v>47</v>
      </c>
      <c r="D61" s="335">
        <v>2433760.0099645299</v>
      </c>
      <c r="E61" s="335">
        <v>102</v>
      </c>
      <c r="F61" s="335">
        <v>1341664.06375257</v>
      </c>
    </row>
    <row r="62" spans="1:6">
      <c r="A62" s="1286" t="s">
        <v>49</v>
      </c>
      <c r="B62" s="1286" t="s">
        <v>55</v>
      </c>
      <c r="C62" s="335">
        <v>0</v>
      </c>
      <c r="D62" s="335">
        <v>0</v>
      </c>
      <c r="E62" s="335">
        <v>3</v>
      </c>
      <c r="F62" s="335">
        <v>32494.981073413899</v>
      </c>
    </row>
    <row r="63" spans="1:6">
      <c r="A63" s="1286" t="s">
        <v>49</v>
      </c>
      <c r="B63" s="1286" t="s">
        <v>29</v>
      </c>
      <c r="C63" s="335">
        <v>93</v>
      </c>
      <c r="D63" s="335">
        <v>3930816.4837211198</v>
      </c>
      <c r="E63" s="335">
        <v>121</v>
      </c>
      <c r="F63" s="335">
        <v>2458204.6489894302</v>
      </c>
    </row>
    <row r="64" spans="1:6">
      <c r="A64" s="1286" t="s">
        <v>56</v>
      </c>
      <c r="B64" s="1286" t="s">
        <v>57</v>
      </c>
      <c r="C64" s="335">
        <v>0</v>
      </c>
      <c r="D64" s="335">
        <v>0</v>
      </c>
      <c r="E64" s="335">
        <v>0</v>
      </c>
      <c r="F64" s="335">
        <v>0</v>
      </c>
    </row>
    <row r="65" spans="1:6">
      <c r="A65" s="1286" t="s">
        <v>56</v>
      </c>
      <c r="B65" s="1286" t="s">
        <v>29</v>
      </c>
      <c r="C65" s="335">
        <v>4</v>
      </c>
      <c r="D65" s="335">
        <v>92193.885427877802</v>
      </c>
      <c r="E65" s="335">
        <v>4</v>
      </c>
      <c r="F65" s="335">
        <v>27995.058504330798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32547863</v>
      </c>
      <c r="E73" s="335">
        <v>32951842.957791589</v>
      </c>
    </row>
    <row r="74" spans="1:6">
      <c r="A74" s="1286" t="s">
        <v>64</v>
      </c>
      <c r="B74" s="1286" t="s">
        <v>772</v>
      </c>
      <c r="C74" s="1297" t="s">
        <v>766</v>
      </c>
      <c r="D74" s="335">
        <v>5504663.4892422194</v>
      </c>
      <c r="E74" s="335">
        <v>5695245.3789977878</v>
      </c>
    </row>
    <row r="75" spans="1:6">
      <c r="A75" s="1286" t="s">
        <v>65</v>
      </c>
      <c r="B75" s="1286" t="s">
        <v>771</v>
      </c>
      <c r="C75" s="1297" t="s">
        <v>767</v>
      </c>
      <c r="D75" s="335">
        <v>34643295</v>
      </c>
      <c r="E75" s="335">
        <v>35093638.673604921</v>
      </c>
    </row>
    <row r="76" spans="1:6">
      <c r="A76" s="1286" t="s">
        <v>65</v>
      </c>
      <c r="B76" s="1286" t="s">
        <v>772</v>
      </c>
      <c r="C76" s="1297" t="s">
        <v>768</v>
      </c>
      <c r="D76" s="335">
        <v>2319829.4892422198</v>
      </c>
      <c r="E76" s="335">
        <v>2387828.1199674876</v>
      </c>
    </row>
    <row r="77" spans="1:6">
      <c r="A77" s="1286" t="s">
        <v>66</v>
      </c>
      <c r="B77" s="1286" t="s">
        <v>771</v>
      </c>
      <c r="C77" s="1297" t="s">
        <v>769</v>
      </c>
      <c r="D77" s="335">
        <v>8889287</v>
      </c>
      <c r="E77" s="335">
        <v>8824266.4107522685</v>
      </c>
    </row>
    <row r="78" spans="1:6">
      <c r="A78" s="1282" t="s">
        <v>66</v>
      </c>
      <c r="B78" s="1282" t="s">
        <v>772</v>
      </c>
      <c r="C78" s="1282" t="s">
        <v>770</v>
      </c>
      <c r="D78" s="1282">
        <v>1223784</v>
      </c>
      <c r="E78" s="1282">
        <v>1101738.1578515139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173029.02151556057</v>
      </c>
      <c r="C83" s="335">
        <v>166189.91246158289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1672.744468729833</v>
      </c>
    </row>
    <row r="92" spans="1:6">
      <c r="A92" s="1282" t="s">
        <v>69</v>
      </c>
      <c r="B92" s="338">
        <v>442.87809820990049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868</v>
      </c>
    </row>
    <row r="98" spans="1:6">
      <c r="A98" s="1286" t="s">
        <v>72</v>
      </c>
      <c r="B98" s="335">
        <v>0</v>
      </c>
    </row>
    <row r="99" spans="1:6">
      <c r="A99" s="1286" t="s">
        <v>73</v>
      </c>
      <c r="B99" s="335">
        <v>53</v>
      </c>
    </row>
    <row r="100" spans="1:6">
      <c r="A100" s="1286" t="s">
        <v>74</v>
      </c>
      <c r="B100" s="335">
        <v>559</v>
      </c>
    </row>
    <row r="101" spans="1:6">
      <c r="A101" s="1286" t="s">
        <v>75</v>
      </c>
      <c r="B101" s="335">
        <v>80</v>
      </c>
    </row>
    <row r="102" spans="1:6">
      <c r="A102" s="1286" t="s">
        <v>76</v>
      </c>
      <c r="B102" s="335">
        <v>63</v>
      </c>
    </row>
    <row r="103" spans="1:6">
      <c r="A103" s="1286" t="s">
        <v>77</v>
      </c>
      <c r="B103" s="335">
        <v>79</v>
      </c>
    </row>
    <row r="104" spans="1:6">
      <c r="A104" s="1286" t="s">
        <v>78</v>
      </c>
      <c r="B104" s="335">
        <v>1830</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23</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43</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41344.420765279952</v>
      </c>
      <c r="C3" s="44" t="s">
        <v>170</v>
      </c>
      <c r="D3" s="44"/>
      <c r="E3" s="157"/>
      <c r="F3" s="44"/>
      <c r="G3" s="44"/>
      <c r="H3" s="44"/>
      <c r="I3" s="44"/>
      <c r="J3" s="44"/>
      <c r="K3" s="97"/>
    </row>
    <row r="4" spans="1:11">
      <c r="A4" s="365" t="s">
        <v>171</v>
      </c>
      <c r="B4" s="50">
        <f>IF(ISERROR('SEAP template'!B78+'SEAP template'!C78),0,'SEAP template'!B78+'SEAP template'!C78)</f>
        <v>2115.6225669397336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0.20969127735642823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850.93399999999997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850.93399999999997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0.20969127735642823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178.43343740601489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19455.804211278701</v>
      </c>
      <c r="C5" s="18">
        <f>IF(ISERROR('Eigen informatie GS &amp; warmtenet'!B57),0,'Eigen informatie GS &amp; warmtenet'!B57)</f>
        <v>0</v>
      </c>
      <c r="D5" s="31">
        <f>(SUM(HH_hh_gas_kWh,HH_rest_gas_kWh)/1000)*0.902</f>
        <v>29860.079375855119</v>
      </c>
      <c r="E5" s="18">
        <f>B46*B57</f>
        <v>1847.9298010441514</v>
      </c>
      <c r="F5" s="18">
        <f>B51*B62</f>
        <v>19583.939203748949</v>
      </c>
      <c r="G5" s="19"/>
      <c r="H5" s="18"/>
      <c r="I5" s="18"/>
      <c r="J5" s="18">
        <f>B50*B61+C50*C61</f>
        <v>0</v>
      </c>
      <c r="K5" s="18"/>
      <c r="L5" s="18"/>
      <c r="M5" s="18"/>
      <c r="N5" s="18">
        <f>B48*B59+C48*C59</f>
        <v>9058.4610477493006</v>
      </c>
      <c r="O5" s="18">
        <f>B69*B70*B71</f>
        <v>70.350000000000009</v>
      </c>
      <c r="P5" s="18">
        <f>B77*B78*B79/1000-B77*B78*B79/1000/B80</f>
        <v>476.66666666666663</v>
      </c>
    </row>
    <row r="6" spans="1:16">
      <c r="A6" s="17" t="s">
        <v>639</v>
      </c>
      <c r="B6" s="780">
        <f>kWh_PV_kleiner_dan_10kW</f>
        <v>1672.744468729833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21128.548680008535</v>
      </c>
      <c r="C8" s="22">
        <f>C5</f>
        <v>0</v>
      </c>
      <c r="D8" s="22">
        <f>D5</f>
        <v>29860.079375855119</v>
      </c>
      <c r="E8" s="22">
        <f>E5</f>
        <v>1847.9298010441514</v>
      </c>
      <c r="F8" s="22">
        <f>F5</f>
        <v>19583.939203748949</v>
      </c>
      <c r="G8" s="22"/>
      <c r="H8" s="22"/>
      <c r="I8" s="22"/>
      <c r="J8" s="22">
        <f>J5</f>
        <v>0</v>
      </c>
      <c r="K8" s="22"/>
      <c r="L8" s="22">
        <f>L5</f>
        <v>0</v>
      </c>
      <c r="M8" s="22">
        <f>M5</f>
        <v>0</v>
      </c>
      <c r="N8" s="22">
        <f>N5</f>
        <v>9058.4610477493006</v>
      </c>
      <c r="O8" s="22">
        <f>O5</f>
        <v>70.350000000000009</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0.20969127735642823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4430.4723613984652</v>
      </c>
      <c r="C12" s="24">
        <f ca="1">C10*C8</f>
        <v>0</v>
      </c>
      <c r="D12" s="24">
        <f>D8*D10</f>
        <v>6031.7360339227344</v>
      </c>
      <c r="E12" s="24">
        <f>E10*E8</f>
        <v>419.48006483702238</v>
      </c>
      <c r="F12" s="24">
        <f>F10*F8</f>
        <v>5228.9117674009694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868</v>
      </c>
      <c r="C18" s="169" t="s">
        <v>111</v>
      </c>
      <c r="D18" s="231"/>
      <c r="E18" s="16"/>
    </row>
    <row r="19" spans="1:7">
      <c r="A19" s="174" t="s">
        <v>72</v>
      </c>
      <c r="B19" s="38">
        <f>aantalw2001_ander</f>
        <v>0</v>
      </c>
      <c r="C19" s="169" t="s">
        <v>111</v>
      </c>
      <c r="D19" s="232"/>
      <c r="E19" s="16"/>
    </row>
    <row r="20" spans="1:7">
      <c r="A20" s="174" t="s">
        <v>73</v>
      </c>
      <c r="B20" s="38">
        <f>aantalw2001_propaan</f>
        <v>53</v>
      </c>
      <c r="C20" s="170">
        <f>IF(ISERROR(B20/SUM($B$20,$B$21,$B$22)*100),0,B20/SUM($B$20,$B$21,$B$22)*100)</f>
        <v>7.6589595375722546</v>
      </c>
      <c r="D20" s="232"/>
      <c r="E20" s="16"/>
    </row>
    <row r="21" spans="1:7">
      <c r="A21" s="174" t="s">
        <v>74</v>
      </c>
      <c r="B21" s="38">
        <f>aantalw2001_elektriciteit</f>
        <v>559</v>
      </c>
      <c r="C21" s="170">
        <f>IF(ISERROR(B21/SUM($B$20,$B$21,$B$22)*100),0,B21/SUM($B$20,$B$21,$B$22)*100)</f>
        <v>80.780346820809243</v>
      </c>
      <c r="D21" s="232"/>
      <c r="E21" s="16"/>
    </row>
    <row r="22" spans="1:7">
      <c r="A22" s="174" t="s">
        <v>75</v>
      </c>
      <c r="B22" s="38">
        <f>aantalw2001_hout</f>
        <v>80</v>
      </c>
      <c r="C22" s="170">
        <f>IF(ISERROR(B22/SUM($B$20,$B$21,$B$22)*100),0,B22/SUM($B$20,$B$21,$B$22)*100)</f>
        <v>11.560693641618498</v>
      </c>
      <c r="D22" s="232"/>
      <c r="E22" s="16"/>
    </row>
    <row r="23" spans="1:7">
      <c r="A23" s="174" t="s">
        <v>76</v>
      </c>
      <c r="B23" s="38">
        <f>aantalw2001_niet_gespec</f>
        <v>63</v>
      </c>
      <c r="C23" s="169" t="s">
        <v>111</v>
      </c>
      <c r="D23" s="231"/>
      <c r="E23" s="16"/>
    </row>
    <row r="24" spans="1:7">
      <c r="A24" s="174" t="s">
        <v>77</v>
      </c>
      <c r="B24" s="38">
        <f>aantalw2001_steenkool</f>
        <v>79</v>
      </c>
      <c r="C24" s="169" t="s">
        <v>111</v>
      </c>
      <c r="D24" s="232"/>
      <c r="E24" s="16"/>
    </row>
    <row r="25" spans="1:7">
      <c r="A25" s="174" t="s">
        <v>78</v>
      </c>
      <c r="B25" s="38">
        <f>aantalw2001_stookolie</f>
        <v>1830</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3911</v>
      </c>
      <c r="C28" s="37"/>
      <c r="D28" s="231"/>
    </row>
    <row r="29" spans="1:7" s="16" customFormat="1">
      <c r="A29" s="233" t="s">
        <v>666</v>
      </c>
      <c r="B29" s="38">
        <f>SUM(HH_hh_gas_aantal,HH_rest_gas_aantal)</f>
        <v>1799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1799</v>
      </c>
      <c r="C32" s="170">
        <f>IF(ISERROR(B32/SUM($B$32,$B$34,$B$35,$B$36,$B$38,$B$39)*100),0,B32/SUM($B$32,$B$34,$B$35,$B$36,$B$38,$B$39)*100)</f>
        <v>46.294390118373649</v>
      </c>
      <c r="D32" s="236"/>
      <c r="G32" s="16"/>
    </row>
    <row r="33" spans="1:7">
      <c r="A33" s="174" t="s">
        <v>72</v>
      </c>
      <c r="B33" s="35" t="s">
        <v>111</v>
      </c>
      <c r="C33" s="170"/>
      <c r="D33" s="236"/>
      <c r="G33" s="16"/>
    </row>
    <row r="34" spans="1:7">
      <c r="A34" s="174" t="s">
        <v>73</v>
      </c>
      <c r="B34" s="34">
        <f>IF((($B$28-$B$32-$B$39-$B$77-$B$38)*C20/100)&lt;0,0,($B$28-$B$32-$B$39-$B$77-$B$38)*C20/100)</f>
        <v>83.85794797687862</v>
      </c>
      <c r="C34" s="170">
        <f>IF(ISERROR(B34/SUM($B$32,$B$34,$B$35,$B$36,$B$38,$B$39)*100),0,B34/SUM($B$32,$B$34,$B$35,$B$36,$B$38,$B$39)*100)</f>
        <v>2.1579502824724295</v>
      </c>
      <c r="D34" s="236"/>
      <c r="G34" s="16"/>
    </row>
    <row r="35" spans="1:7">
      <c r="A35" s="174" t="s">
        <v>74</v>
      </c>
      <c r="B35" s="34">
        <f>IF((($B$28-$B$32-$B$39-$B$77-$B$38)*C21/100)&lt;0,0,($B$28-$B$32-$B$39-$B$77-$B$38)*C21/100)</f>
        <v>884.4640173410404</v>
      </c>
      <c r="C35" s="170">
        <f>IF(ISERROR(B35/SUM($B$32,$B$34,$B$35,$B$36,$B$38,$B$39)*100),0,B35/SUM($B$32,$B$34,$B$35,$B$36,$B$38,$B$39)*100)</f>
        <v>22.760268073624303</v>
      </c>
      <c r="D35" s="236"/>
      <c r="G35" s="16"/>
    </row>
    <row r="36" spans="1:7">
      <c r="A36" s="174" t="s">
        <v>75</v>
      </c>
      <c r="B36" s="34">
        <f>IF((($B$28-$B$32-$B$39-$B$77-$B$38)*C22/100)&lt;0,0,($B$28-$B$32-$B$39-$B$77-$B$38)*C22/100)</f>
        <v>126.57803468208094</v>
      </c>
      <c r="C36" s="170">
        <f>IF(ISERROR(B36/SUM($B$32,$B$34,$B$35,$B$36,$B$38,$B$39)*100),0,B36/SUM($B$32,$B$34,$B$35,$B$36,$B$38,$B$39)*100)</f>
        <v>3.257283445241403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992.1</v>
      </c>
      <c r="C39" s="170">
        <f>IF(ISERROR(B39/SUM($B$32,$B$34,$B$35,$B$36,$B$38,$B$39)*100),0,B39/SUM($B$32,$B$34,$B$35,$B$36,$B$38,$B$39)*100)</f>
        <v>25.530108080288215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1799</v>
      </c>
      <c r="C44" s="35" t="s">
        <v>111</v>
      </c>
      <c r="D44" s="177"/>
    </row>
    <row r="45" spans="1:7">
      <c r="A45" s="174" t="s">
        <v>72</v>
      </c>
      <c r="B45" s="34" t="str">
        <f t="shared" si="0"/>
        <v>-</v>
      </c>
      <c r="C45" s="35" t="s">
        <v>111</v>
      </c>
      <c r="D45" s="177"/>
    </row>
    <row r="46" spans="1:7">
      <c r="A46" s="174" t="s">
        <v>73</v>
      </c>
      <c r="B46" s="34">
        <f t="shared" si="0"/>
        <v>83.85794797687862</v>
      </c>
      <c r="C46" s="35" t="s">
        <v>111</v>
      </c>
      <c r="D46" s="177"/>
    </row>
    <row r="47" spans="1:7">
      <c r="A47" s="174" t="s">
        <v>74</v>
      </c>
      <c r="B47" s="34">
        <f t="shared" si="0"/>
        <v>884.4640173410404</v>
      </c>
      <c r="C47" s="35" t="s">
        <v>111</v>
      </c>
      <c r="D47" s="177"/>
    </row>
    <row r="48" spans="1:7">
      <c r="A48" s="174" t="s">
        <v>75</v>
      </c>
      <c r="B48" s="34">
        <f t="shared" si="0"/>
        <v>126.57803468208094</v>
      </c>
      <c r="C48" s="34">
        <f>B48*10</f>
        <v>1265.7803468208094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992.1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8275.0859378095629</v>
      </c>
      <c r="C5" s="18">
        <f>IF(ISERROR('Eigen informatie GS &amp; warmtenet'!B58),0,'Eigen informatie GS &amp; warmtenet'!B58)</f>
        <v>0</v>
      </c>
      <c r="D5" s="31">
        <f>SUM(D6:D12)</f>
        <v>11311.639550924907</v>
      </c>
      <c r="E5" s="18">
        <f>SUM(E6:E12)</f>
        <v>84.505941812969965</v>
      </c>
      <c r="F5" s="18">
        <f>SUM(F6:F12)</f>
        <v>1721.5645642662937</v>
      </c>
      <c r="G5" s="19"/>
      <c r="H5" s="18"/>
      <c r="I5" s="18"/>
      <c r="J5" s="18">
        <f>SUM(J6:J12)</f>
        <v>0</v>
      </c>
      <c r="K5" s="18"/>
      <c r="L5" s="18"/>
      <c r="M5" s="18"/>
      <c r="N5" s="18">
        <f>SUM(N6:N12)</f>
        <v>604.57919306748204</v>
      </c>
      <c r="O5" s="18">
        <f>B38*B39*B40</f>
        <v>0</v>
      </c>
      <c r="P5" s="18">
        <f>B46*B47*B48/1000-B46*B47*B48/1000/B49</f>
        <v>0</v>
      </c>
      <c r="R5" s="33"/>
    </row>
    <row r="6" spans="1:18">
      <c r="A6" s="33" t="s">
        <v>54</v>
      </c>
      <c r="B6" s="38">
        <f>B26</f>
        <v>1341.66406375257</v>
      </c>
      <c r="C6" s="34"/>
      <c r="D6" s="38">
        <f>IF(ISERROR(TER_kantoor_gas_kWh/1000),0,TER_kantoor_gas_kWh/1000)*0.902</f>
        <v>2195.2515289880057</v>
      </c>
      <c r="E6" s="34">
        <f>$C$26*'E Balans VL '!I12/100/3.6*1000000</f>
        <v>2.2019426515211338</v>
      </c>
      <c r="F6" s="34">
        <f>$C$26*('E Balans VL '!L12+'E Balans VL '!N12)/100/3.6*1000000</f>
        <v>158.15062547527427</v>
      </c>
      <c r="G6" s="35"/>
      <c r="H6" s="34"/>
      <c r="I6" s="34"/>
      <c r="J6" s="34">
        <f>$C$26*('E Balans VL '!D12+'E Balans VL '!E12)/100/3.6*1000000</f>
        <v>0</v>
      </c>
      <c r="K6" s="34"/>
      <c r="L6" s="34"/>
      <c r="M6" s="34"/>
      <c r="N6" s="34">
        <f>$C$26*'E Balans VL '!Y12/100/3.6*1000000</f>
        <v>0.27107687078173687</v>
      </c>
      <c r="O6" s="34"/>
      <c r="P6" s="34"/>
      <c r="R6" s="33"/>
    </row>
    <row r="7" spans="1:18">
      <c r="A7" s="33" t="s">
        <v>53</v>
      </c>
      <c r="B7" s="38">
        <f t="shared" ref="B7:B12" si="0">B27</f>
        <v>800.25764241345792</v>
      </c>
      <c r="C7" s="34"/>
      <c r="D7" s="38">
        <f>IF(ISERROR(TER_horeca_gas_kWh/1000),0,TER_horeca_gas_kWh/1000)*0.902</f>
        <v>874.18083903231116</v>
      </c>
      <c r="E7" s="34">
        <f>$C$27*'E Balans VL '!I9/100/3.6*1000000</f>
        <v>41.527580853039716</v>
      </c>
      <c r="F7" s="34">
        <f>$C$27*('E Balans VL '!L9+'E Balans VL '!N9)/100/3.6*1000000</f>
        <v>182.61937466857438</v>
      </c>
      <c r="G7" s="35"/>
      <c r="H7" s="34"/>
      <c r="I7" s="34"/>
      <c r="J7" s="34">
        <f>$C$27*('E Balans VL '!D9+'E Balans VL '!E9)/100/3.6*1000000</f>
        <v>0</v>
      </c>
      <c r="K7" s="34"/>
      <c r="L7" s="34"/>
      <c r="M7" s="34"/>
      <c r="N7" s="34">
        <f>$C$27*'E Balans VL '!Y9/100/3.6*1000000</f>
        <v>8.4506840304796882E-2</v>
      </c>
      <c r="O7" s="34"/>
      <c r="P7" s="34"/>
      <c r="R7" s="33"/>
    </row>
    <row r="8" spans="1:18">
      <c r="A8" s="6" t="s">
        <v>52</v>
      </c>
      <c r="B8" s="38">
        <f t="shared" si="0"/>
        <v>2411.1454966993301</v>
      </c>
      <c r="C8" s="34"/>
      <c r="D8" s="38">
        <f>IF(ISERROR(TER_handel_gas_kWh/1000),0,TER_handel_gas_kWh/1000)*0.902</f>
        <v>455.18839109946691</v>
      </c>
      <c r="E8" s="34">
        <f>$C$28*'E Balans VL '!I13/100/3.6*1000000</f>
        <v>12.984314790127261</v>
      </c>
      <c r="F8" s="34">
        <f>$C$28*('E Balans VL '!L13+'E Balans VL '!N13)/100/3.6*1000000</f>
        <v>491.7042195676205</v>
      </c>
      <c r="G8" s="35"/>
      <c r="H8" s="34"/>
      <c r="I8" s="34"/>
      <c r="J8" s="34">
        <f>$C$28*('E Balans VL '!D13+'E Balans VL '!E13)/100/3.6*1000000</f>
        <v>0</v>
      </c>
      <c r="K8" s="34"/>
      <c r="L8" s="34"/>
      <c r="M8" s="34"/>
      <c r="N8" s="34">
        <f>$C$28*'E Balans VL '!Y13/100/3.6*1000000</f>
        <v>11.989353265629449</v>
      </c>
      <c r="O8" s="34"/>
      <c r="P8" s="34"/>
      <c r="R8" s="33"/>
    </row>
    <row r="9" spans="1:18">
      <c r="A9" s="33" t="s">
        <v>51</v>
      </c>
      <c r="B9" s="38">
        <f t="shared" si="0"/>
        <v>492.500340726503</v>
      </c>
      <c r="C9" s="34"/>
      <c r="D9" s="38">
        <f>IF(ISERROR(TER_gezond_gas_kWh/1000),0,TER_gezond_gas_kWh/1000)*0.902</f>
        <v>3895.4218332133764</v>
      </c>
      <c r="E9" s="34">
        <f>$C$29*'E Balans VL '!I10/100/3.6*1000000</f>
        <v>0.48807343835066014</v>
      </c>
      <c r="F9" s="34">
        <f>$C$29*('E Balans VL '!L10+'E Balans VL '!N10)/100/3.6*1000000</f>
        <v>170.88342245438699</v>
      </c>
      <c r="G9" s="35"/>
      <c r="H9" s="34"/>
      <c r="I9" s="34"/>
      <c r="J9" s="34">
        <f>$C$29*('E Balans VL '!D10+'E Balans VL '!E10)/100/3.6*1000000</f>
        <v>0</v>
      </c>
      <c r="K9" s="34"/>
      <c r="L9" s="34"/>
      <c r="M9" s="34"/>
      <c r="N9" s="34">
        <f>$C$29*'E Balans VL '!Y10/100/3.6*1000000</f>
        <v>4.2438327709403083</v>
      </c>
      <c r="O9" s="34"/>
      <c r="P9" s="34"/>
      <c r="R9" s="33"/>
    </row>
    <row r="10" spans="1:18">
      <c r="A10" s="33" t="s">
        <v>50</v>
      </c>
      <c r="B10" s="38">
        <f t="shared" si="0"/>
        <v>738.81876415485704</v>
      </c>
      <c r="C10" s="34"/>
      <c r="D10" s="38">
        <f>IF(ISERROR(TER_ander_gas_kWh/1000),0,TER_ander_gas_kWh/1000)*0.902</f>
        <v>346.00049027529599</v>
      </c>
      <c r="E10" s="34">
        <f>$C$30*'E Balans VL '!I14/100/3.6*1000000</f>
        <v>6.0442758875544822</v>
      </c>
      <c r="F10" s="34">
        <f>$C$30*('E Balans VL '!L14+'E Balans VL '!N14)/100/3.6*1000000</f>
        <v>216.00052808124292</v>
      </c>
      <c r="G10" s="35"/>
      <c r="H10" s="34"/>
      <c r="I10" s="34"/>
      <c r="J10" s="34">
        <f>$C$30*('E Balans VL '!D14+'E Balans VL '!E14)/100/3.6*1000000</f>
        <v>0</v>
      </c>
      <c r="K10" s="34"/>
      <c r="L10" s="34"/>
      <c r="M10" s="34"/>
      <c r="N10" s="34">
        <f>$C$30*'E Balans VL '!Y14/100/3.6*1000000</f>
        <v>426.20148570450294</v>
      </c>
      <c r="O10" s="34"/>
      <c r="P10" s="34"/>
      <c r="R10" s="33"/>
    </row>
    <row r="11" spans="1:18">
      <c r="A11" s="33" t="s">
        <v>55</v>
      </c>
      <c r="B11" s="38">
        <f t="shared" si="0"/>
        <v>32.494981073413896</v>
      </c>
      <c r="C11" s="34"/>
      <c r="D11" s="38">
        <f>IF(ISERROR(TER_onderwijs_gas_kWh/1000),0,TER_onderwijs_gas_kWh/1000)*0.902</f>
        <v>0</v>
      </c>
      <c r="E11" s="34">
        <f>$C$31*'E Balans VL '!I11/100/3.6*1000000</f>
        <v>2.0028535234275602E-2</v>
      </c>
      <c r="F11" s="34">
        <f>$C$31*('E Balans VL '!L11+'E Balans VL '!N11)/100/3.6*1000000</f>
        <v>12.563085928454688</v>
      </c>
      <c r="G11" s="35"/>
      <c r="H11" s="34"/>
      <c r="I11" s="34"/>
      <c r="J11" s="34">
        <f>$C$31*('E Balans VL '!D11+'E Balans VL '!E11)/100/3.6*1000000</f>
        <v>0</v>
      </c>
      <c r="K11" s="34"/>
      <c r="L11" s="34"/>
      <c r="M11" s="34"/>
      <c r="N11" s="34">
        <f>$C$31*'E Balans VL '!Y11/100/3.6*1000000</f>
        <v>0.10569920990605269</v>
      </c>
      <c r="O11" s="34"/>
      <c r="P11" s="34"/>
      <c r="R11" s="33"/>
    </row>
    <row r="12" spans="1:18">
      <c r="A12" s="33" t="s">
        <v>260</v>
      </c>
      <c r="B12" s="38">
        <f t="shared" si="0"/>
        <v>2458.2046489894301</v>
      </c>
      <c r="C12" s="34"/>
      <c r="D12" s="38">
        <f>IF(ISERROR(TER_rest_gas_kWh/1000),0,TER_rest_gas_kWh/1000)*0.902</f>
        <v>3545.5964683164502</v>
      </c>
      <c r="E12" s="34">
        <f>$C$32*'E Balans VL '!I8/100/3.6*1000000</f>
        <v>21.239725657142429</v>
      </c>
      <c r="F12" s="34">
        <f>$C$32*('E Balans VL '!L8+'E Balans VL '!N8)/100/3.6*1000000</f>
        <v>489.64330809073999</v>
      </c>
      <c r="G12" s="35"/>
      <c r="H12" s="34"/>
      <c r="I12" s="34"/>
      <c r="J12" s="34">
        <f>$C$32*('E Balans VL '!D8+'E Balans VL '!E8)/100/3.6*1000000</f>
        <v>0</v>
      </c>
      <c r="K12" s="34"/>
      <c r="L12" s="34"/>
      <c r="M12" s="34"/>
      <c r="N12" s="34">
        <f>$C$32*'E Balans VL '!Y8/100/3.6*1000000</f>
        <v>161.6832384054168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8275.0859378095629</v>
      </c>
      <c r="C16" s="22">
        <f t="shared" ca="1" si="1"/>
        <v>0</v>
      </c>
      <c r="D16" s="22">
        <f t="shared" ca="1" si="1"/>
        <v>11311.639550924907</v>
      </c>
      <c r="E16" s="22">
        <f t="shared" si="1"/>
        <v>84.505941812969965</v>
      </c>
      <c r="F16" s="22">
        <f t="shared" ca="1" si="1"/>
        <v>1721.5645642662937</v>
      </c>
      <c r="G16" s="22">
        <f t="shared" si="1"/>
        <v>0</v>
      </c>
      <c r="H16" s="22">
        <f t="shared" si="1"/>
        <v>0</v>
      </c>
      <c r="I16" s="22">
        <f t="shared" si="1"/>
        <v>0</v>
      </c>
      <c r="J16" s="22">
        <f t="shared" si="1"/>
        <v>0</v>
      </c>
      <c r="K16" s="22">
        <f t="shared" si="1"/>
        <v>0</v>
      </c>
      <c r="L16" s="22">
        <f t="shared" ca="1" si="1"/>
        <v>0</v>
      </c>
      <c r="M16" s="22">
        <f t="shared" si="1"/>
        <v>0</v>
      </c>
      <c r="N16" s="22">
        <f t="shared" ca="1" si="1"/>
        <v>604.57919306748204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0.20969127735642823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1735.2133405335042</v>
      </c>
      <c r="C20" s="24">
        <f t="shared" ref="C20:P20" ca="1" si="2">C16*C18</f>
        <v>0</v>
      </c>
      <c r="D20" s="24">
        <f t="shared" ca="1" si="2"/>
        <v>2284.9511892868313</v>
      </c>
      <c r="E20" s="24">
        <f t="shared" si="2"/>
        <v>19.182848791544181</v>
      </c>
      <c r="F20" s="24">
        <f t="shared" ca="1" si="2"/>
        <v>459.65773865910046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1341.66406375257</v>
      </c>
      <c r="C26" s="40">
        <f>IF(ISERROR(B26*3.6/1000000/'E Balans VL '!Z12*100),0,B26*3.6/1000000/'E Balans VL '!Z12*100)</f>
        <v>2.8509399205791781E-2</v>
      </c>
      <c r="D26" s="240" t="s">
        <v>707</v>
      </c>
      <c r="F26" s="6"/>
    </row>
    <row r="27" spans="1:18">
      <c r="A27" s="234" t="s">
        <v>53</v>
      </c>
      <c r="B27" s="34">
        <f>IF(ISERROR(TER_horeca_ele_kWh/1000),0,TER_horeca_ele_kWh/1000)</f>
        <v>800.25764241345792</v>
      </c>
      <c r="C27" s="40">
        <f>IF(ISERROR(B27*3.6/1000000/'E Balans VL '!Z9*100),0,B27*3.6/1000000/'E Balans VL '!Z9*100)</f>
        <v>6.2986464823451091E-2</v>
      </c>
      <c r="D27" s="240" t="s">
        <v>707</v>
      </c>
      <c r="F27" s="6"/>
    </row>
    <row r="28" spans="1:18">
      <c r="A28" s="174" t="s">
        <v>52</v>
      </c>
      <c r="B28" s="34">
        <f>IF(ISERROR(TER_handel_ele_kWh/1000),0,TER_handel_ele_kWh/1000)</f>
        <v>2411.1454966993301</v>
      </c>
      <c r="C28" s="40">
        <f>IF(ISERROR(B28*3.6/1000000/'E Balans VL '!Z13*100),0,B28*3.6/1000000/'E Balans VL '!Z13*100)</f>
        <v>6.7537475756673696E-2</v>
      </c>
      <c r="D28" s="240" t="s">
        <v>707</v>
      </c>
      <c r="F28" s="6"/>
    </row>
    <row r="29" spans="1:18">
      <c r="A29" s="234" t="s">
        <v>51</v>
      </c>
      <c r="B29" s="34">
        <f>IF(ISERROR(TER_gezond_ele_kWh/1000),0,TER_gezond_ele_kWh/1000)</f>
        <v>492.500340726503</v>
      </c>
      <c r="C29" s="40">
        <f>IF(ISERROR(B29*3.6/1000000/'E Balans VL '!Z10*100),0,B29*3.6/1000000/'E Balans VL '!Z10*100)</f>
        <v>6.3005686189432475E-2</v>
      </c>
      <c r="D29" s="240" t="s">
        <v>707</v>
      </c>
      <c r="F29" s="6"/>
    </row>
    <row r="30" spans="1:18">
      <c r="A30" s="234" t="s">
        <v>50</v>
      </c>
      <c r="B30" s="34">
        <f>IF(ISERROR(TER_ander_ele_kWh/1000),0,TER_ander_ele_kWh/1000)</f>
        <v>738.81876415485704</v>
      </c>
      <c r="C30" s="40">
        <f>IF(ISERROR(B30*3.6/1000000/'E Balans VL '!Z14*100),0,B30*3.6/1000000/'E Balans VL '!Z14*100)</f>
        <v>5.5257418163125724E-2</v>
      </c>
      <c r="D30" s="240" t="s">
        <v>707</v>
      </c>
      <c r="F30" s="6"/>
    </row>
    <row r="31" spans="1:18">
      <c r="A31" s="234" t="s">
        <v>55</v>
      </c>
      <c r="B31" s="34">
        <f>IF(ISERROR(TER_onderwijs_ele_kWh/1000),0,TER_onderwijs_ele_kWh/1000)</f>
        <v>32.494981073413896</v>
      </c>
      <c r="C31" s="40">
        <f>IF(ISERROR(B31*3.6/1000000/'E Balans VL '!Z11*100),0,B31*3.6/1000000/'E Balans VL '!Z11*100)</f>
        <v>6.8613573454107566E-3</v>
      </c>
      <c r="D31" s="240" t="s">
        <v>707</v>
      </c>
    </row>
    <row r="32" spans="1:18">
      <c r="A32" s="234" t="s">
        <v>260</v>
      </c>
      <c r="B32" s="34">
        <f>IF(ISERROR(TER_rest_ele_kWh/1000),0,TER_rest_ele_kWh/1000)</f>
        <v>2458.2046489894301</v>
      </c>
      <c r="C32" s="40">
        <f>IF(ISERROR(B32*3.6/1000000/'E Balans VL '!Z8*100),0,B32*3.6/1000000/'E Balans VL '!Z8*100)</f>
        <v>2.0250522901322884E-2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9428.4320375902971</v>
      </c>
      <c r="C5" s="18">
        <f>IF(ISERROR('Eigen informatie GS &amp; warmtenet'!B59),0,'Eigen informatie GS &amp; warmtenet'!B59)</f>
        <v>0</v>
      </c>
      <c r="D5" s="31">
        <f>SUM(D6:D15)</f>
        <v>7791.6746003641783</v>
      </c>
      <c r="E5" s="18">
        <f>SUM(E6:E15)</f>
        <v>93.610943628969835</v>
      </c>
      <c r="F5" s="18">
        <f>SUM(F6:F15)</f>
        <v>1471.2018264947349</v>
      </c>
      <c r="G5" s="19"/>
      <c r="H5" s="18"/>
      <c r="I5" s="18"/>
      <c r="J5" s="18">
        <f>SUM(J6:J15)</f>
        <v>2.3450324799322333</v>
      </c>
      <c r="K5" s="18"/>
      <c r="L5" s="18"/>
      <c r="M5" s="18"/>
      <c r="N5" s="18">
        <f>SUM(N6:N15)</f>
        <v>230.38079021399594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27.972575299434201</v>
      </c>
      <c r="C8" s="34"/>
      <c r="D8" s="38">
        <f>IF( ISERROR(IND_metaal_Gas_kWH/1000),0,IND_metaal_Gas_kWH/1000)*0.902</f>
        <v>0</v>
      </c>
      <c r="E8" s="34">
        <f>C30*'E Balans VL '!I18/100/3.6*1000000</f>
        <v>0.25474120224829305</v>
      </c>
      <c r="F8" s="34">
        <f>C30*'E Balans VL '!L18/100/3.6*1000000+C30*'E Balans VL '!N18/100/3.6*1000000</f>
        <v>3.6893702546099929</v>
      </c>
      <c r="G8" s="35"/>
      <c r="H8" s="34"/>
      <c r="I8" s="34"/>
      <c r="J8" s="41">
        <f>C30*'E Balans VL '!D18/100/3.6*1000000+C30*'E Balans VL '!E18/100/3.6*1000000</f>
        <v>0.45870962019387834</v>
      </c>
      <c r="K8" s="34"/>
      <c r="L8" s="34"/>
      <c r="M8" s="34"/>
      <c r="N8" s="34">
        <f>C30*'E Balans VL '!Y18/100/3.6*1000000</f>
        <v>9.6130629227122288E-2</v>
      </c>
      <c r="O8" s="34"/>
      <c r="P8" s="34"/>
      <c r="R8" s="33"/>
    </row>
    <row r="9" spans="1:18">
      <c r="A9" s="6" t="s">
        <v>33</v>
      </c>
      <c r="B9" s="38">
        <f t="shared" si="0"/>
        <v>562.31951081571708</v>
      </c>
      <c r="C9" s="34"/>
      <c r="D9" s="38">
        <f>IF( ISERROR(IND_andere_gas_kWh/1000),0,IND_andere_gas_kWh/1000)*0.902</f>
        <v>160.77266371730616</v>
      </c>
      <c r="E9" s="34">
        <f>C31*'E Balans VL '!I19/100/3.6*1000000</f>
        <v>3.2502908042152234</v>
      </c>
      <c r="F9" s="34">
        <f>C31*'E Balans VL '!L19/100/3.6*1000000+C31*'E Balans VL '!N19/100/3.6*1000000</f>
        <v>447.35222859804901</v>
      </c>
      <c r="G9" s="35"/>
      <c r="H9" s="34"/>
      <c r="I9" s="34"/>
      <c r="J9" s="41">
        <f>C31*'E Balans VL '!D19/100/3.6*1000000+C31*'E Balans VL '!E19/100/3.6*1000000</f>
        <v>5.318917965495306E-2</v>
      </c>
      <c r="K9" s="34"/>
      <c r="L9" s="34"/>
      <c r="M9" s="34"/>
      <c r="N9" s="34">
        <f>C31*'E Balans VL '!Y19/100/3.6*1000000</f>
        <v>42.604212698220685</v>
      </c>
      <c r="O9" s="34"/>
      <c r="P9" s="34"/>
      <c r="R9" s="33"/>
    </row>
    <row r="10" spans="1:18">
      <c r="A10" s="6" t="s">
        <v>41</v>
      </c>
      <c r="B10" s="38">
        <f t="shared" si="0"/>
        <v>8335.3960899829999</v>
      </c>
      <c r="C10" s="34"/>
      <c r="D10" s="38">
        <f>IF( ISERROR(IND_voed_gas_kWh/1000),0,IND_voed_gas_kWh/1000)*0.902</f>
        <v>7033.9618325611282</v>
      </c>
      <c r="E10" s="34">
        <f>C32*'E Balans VL '!I20/100/3.6*1000000</f>
        <v>81.958750221972338</v>
      </c>
      <c r="F10" s="34">
        <f>C32*'E Balans VL '!L20/100/3.6*1000000+C32*'E Balans VL '!N20/100/3.6*1000000</f>
        <v>925.7545347536377</v>
      </c>
      <c r="G10" s="35"/>
      <c r="H10" s="34"/>
      <c r="I10" s="34"/>
      <c r="J10" s="41">
        <f>C32*'E Balans VL '!D20/100/3.6*1000000+C32*'E Balans VL '!E20/100/3.6*1000000</f>
        <v>3.2853580032753328E-2</v>
      </c>
      <c r="K10" s="34"/>
      <c r="L10" s="34"/>
      <c r="M10" s="34"/>
      <c r="N10" s="34">
        <f>C32*'E Balans VL '!Y20/100/3.6*1000000</f>
        <v>123.42760917432392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144.74777979820098</v>
      </c>
      <c r="C13" s="34"/>
      <c r="D13" s="38">
        <f>IF( ISERROR(IND_papier_gas_kWh/1000),0,IND_papier_gas_kWh/1000)*0.902</f>
        <v>0</v>
      </c>
      <c r="E13" s="34">
        <f>C35*'E Balans VL '!I23/100/3.6*1000000</f>
        <v>4.9303192506387665</v>
      </c>
      <c r="F13" s="34">
        <f>C35*'E Balans VL '!L23/100/3.6*1000000+C35*'E Balans VL '!N23/100/3.6*1000000</f>
        <v>23.908936065396684</v>
      </c>
      <c r="G13" s="35"/>
      <c r="H13" s="34"/>
      <c r="I13" s="34"/>
      <c r="J13" s="41">
        <f>C35*'E Balans VL '!D23/100/3.6*1000000+C35*'E Balans VL '!E23/100/3.6*1000000</f>
        <v>0</v>
      </c>
      <c r="K13" s="34"/>
      <c r="L13" s="34"/>
      <c r="M13" s="34"/>
      <c r="N13" s="34">
        <f>C35*'E Balans VL '!Y23/100/3.6*1000000</f>
        <v>53.263301131203789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357.996081693946</v>
      </c>
      <c r="C15" s="34"/>
      <c r="D15" s="38">
        <f>IF( ISERROR(IND_rest_gas_kWh/1000),0,IND_rest_gas_kWh/1000)*0.902</f>
        <v>596.94010408574377</v>
      </c>
      <c r="E15" s="34">
        <f>C37*'E Balans VL '!I15/100/3.6*1000000</f>
        <v>3.2168421498952173</v>
      </c>
      <c r="F15" s="34">
        <f>C37*'E Balans VL '!L15/100/3.6*1000000+C37*'E Balans VL '!N15/100/3.6*1000000</f>
        <v>70.496756823041466</v>
      </c>
      <c r="G15" s="35"/>
      <c r="H15" s="34"/>
      <c r="I15" s="34"/>
      <c r="J15" s="41">
        <f>C37*'E Balans VL '!D15/100/3.6*1000000+C37*'E Balans VL '!E15/100/3.6*1000000</f>
        <v>1.8002801000506485</v>
      </c>
      <c r="K15" s="34"/>
      <c r="L15" s="34"/>
      <c r="M15" s="34"/>
      <c r="N15" s="34">
        <f>C37*'E Balans VL '!Y15/100/3.6*1000000</f>
        <v>10.989536581020428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9428.4320375902971</v>
      </c>
      <c r="C18" s="22">
        <f>C5+C16</f>
        <v>0</v>
      </c>
      <c r="D18" s="22">
        <f>MAX((D5+D16),0)</f>
        <v>7791.6746003641783</v>
      </c>
      <c r="E18" s="22">
        <f>MAX((E5+E16),0)</f>
        <v>93.610943628969835</v>
      </c>
      <c r="F18" s="22">
        <f>MAX((F5+F16),0)</f>
        <v>1471.2018264947349</v>
      </c>
      <c r="G18" s="22"/>
      <c r="H18" s="22"/>
      <c r="I18" s="22"/>
      <c r="J18" s="22">
        <f>MAX((J5+J16),0)</f>
        <v>2.3450324799322333</v>
      </c>
      <c r="K18" s="22"/>
      <c r="L18" s="22">
        <f>MAX((L5+L16),0)</f>
        <v>0</v>
      </c>
      <c r="M18" s="22"/>
      <c r="N18" s="22">
        <f>MAX((N5+N16),0)</f>
        <v>230.38079021399594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0.20969127735642823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1977.0599574305807</v>
      </c>
      <c r="C22" s="24">
        <f ca="1">C18*C20</f>
        <v>0</v>
      </c>
      <c r="D22" s="24">
        <f>D18*D20</f>
        <v>1573.9182692735642</v>
      </c>
      <c r="E22" s="24">
        <f>E18*E20</f>
        <v>21.249684203776152</v>
      </c>
      <c r="F22" s="24">
        <f>F18*F20</f>
        <v>392.8108876740942</v>
      </c>
      <c r="G22" s="24"/>
      <c r="H22" s="24"/>
      <c r="I22" s="24"/>
      <c r="J22" s="24">
        <f>J18*J20</f>
        <v>0.83014149789601055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27.972575299434201</v>
      </c>
      <c r="C30" s="40">
        <f>IF(ISERROR(B30*3.6/1000000/'E Balans VL '!Z18*100),0,B30*3.6/1000000/'E Balans VL '!Z18*100)</f>
        <v>1.5564867644073351E-3</v>
      </c>
      <c r="D30" s="240" t="s">
        <v>707</v>
      </c>
    </row>
    <row r="31" spans="1:18">
      <c r="A31" s="6" t="s">
        <v>33</v>
      </c>
      <c r="B31" s="38">
        <f>IF( ISERROR(IND_ander_ele_kWh/1000),0,IND_ander_ele_kWh/1000)</f>
        <v>562.31951081571708</v>
      </c>
      <c r="C31" s="40">
        <f>IF(ISERROR(B31*3.6/1000000/'E Balans VL '!Z19*100),0,B31*3.6/1000000/'E Balans VL '!Z19*100)</f>
        <v>2.6140757236563963E-2</v>
      </c>
      <c r="D31" s="240" t="s">
        <v>707</v>
      </c>
    </row>
    <row r="32" spans="1:18">
      <c r="A32" s="174" t="s">
        <v>41</v>
      </c>
      <c r="B32" s="38">
        <f>IF( ISERROR(IND_voed_ele_kWh/1000),0,IND_voed_ele_kWh/1000)</f>
        <v>8335.3960899829999</v>
      </c>
      <c r="C32" s="40">
        <f>IF(ISERROR(B32*3.6/1000000/'E Balans VL '!Z20*100),0,B32*3.6/1000000/'E Balans VL '!Z20*100)</f>
        <v>0.29463941773556618</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144.74777979820098</v>
      </c>
      <c r="C35" s="40">
        <f>IF(ISERROR(B35*3.6/1000000/'E Balans VL '!Z22*100),0,B35*3.6/1000000/'E Balans VL '!Z22*100)</f>
        <v>2.9090221989946329E-2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357.996081693946</v>
      </c>
      <c r="C37" s="40">
        <f>IF(ISERROR(B37*3.6/1000000/'E Balans VL '!Z15*100),0,B37*3.6/1000000/'E Balans VL '!Z15*100)</f>
        <v>2.7033992569705052E-3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1231.0941786244182</v>
      </c>
      <c r="C5" s="18">
        <f>'Eigen informatie GS &amp; warmtenet'!B60</f>
        <v>0</v>
      </c>
      <c r="D5" s="31">
        <f>IF(ISERROR(SUM(LB_lb_gas_kWh,LB_rest_gas_kWh)/1000),0,SUM(LB_lb_gas_kWh,LB_rest_gas_kWh)/1000)*0.902</f>
        <v>129.03666136158208</v>
      </c>
      <c r="E5" s="18">
        <f>B17*'E Balans VL '!I25/3.6*1000000/100</f>
        <v>11.597732022799665</v>
      </c>
      <c r="F5" s="18">
        <f>B17*('E Balans VL '!L25/3.6*1000000+'E Balans VL '!N25/3.6*1000000)/100</f>
        <v>4017.4688691279134</v>
      </c>
      <c r="G5" s="19"/>
      <c r="H5" s="18"/>
      <c r="I5" s="18"/>
      <c r="J5" s="18">
        <f>('E Balans VL '!D25+'E Balans VL '!E25)/3.6*1000000*landbouw!B17/100</f>
        <v>152.29233793677508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1231.0941786244182</v>
      </c>
      <c r="C8" s="22">
        <f>C5+C6</f>
        <v>0</v>
      </c>
      <c r="D8" s="22">
        <f>MAX((D5+D6),0)</f>
        <v>129.03666136158208</v>
      </c>
      <c r="E8" s="22">
        <f>MAX((E5+E6),0)</f>
        <v>11.597732022799665</v>
      </c>
      <c r="F8" s="22">
        <f>MAX((F5+F6),0)</f>
        <v>4017.4688691279134</v>
      </c>
      <c r="G8" s="22"/>
      <c r="H8" s="22"/>
      <c r="I8" s="22"/>
      <c r="J8" s="22">
        <f>MAX((J5+J6),0)</f>
        <v>152.29233793677508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0.20969127735642823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258.14971086181708</v>
      </c>
      <c r="C12" s="24">
        <f ca="1">C8*C10</f>
        <v>0</v>
      </c>
      <c r="D12" s="24">
        <f>D8*D10</f>
        <v>26.065405595039582</v>
      </c>
      <c r="E12" s="24">
        <f>E8*E10</f>
        <v>2.6326851691755242</v>
      </c>
      <c r="F12" s="24">
        <f>F8*F10</f>
        <v>1072.6641880571528</v>
      </c>
      <c r="G12" s="24"/>
      <c r="H12" s="24"/>
      <c r="I12" s="24"/>
      <c r="J12" s="24">
        <f>J8*J10</f>
        <v>53.911487629618378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0.16667047952963418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215.07771457489676</v>
      </c>
      <c r="C26" s="250">
        <f>B26*'GWP N2O_CH4'!B5</f>
        <v>4516.6320060728322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87.974998001861039</v>
      </c>
      <c r="C27" s="250">
        <f>B27*'GWP N2O_CH4'!B5</f>
        <v>1847.4749580390819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2.9143094064287931</v>
      </c>
      <c r="C28" s="250">
        <f>B28*'GWP N2O_CH4'!B4</f>
        <v>903.43591599292586</v>
      </c>
      <c r="D28" s="51"/>
    </row>
    <row r="29" spans="1:4">
      <c r="A29" s="42" t="s">
        <v>277</v>
      </c>
      <c r="B29" s="250">
        <f>B34*'ha_N2O bodem landbouw'!B4</f>
        <v>5.7856177319933497</v>
      </c>
      <c r="C29" s="250">
        <f>B29*'GWP N2O_CH4'!B4</f>
        <v>1793.5414969179385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1.5619346548481766E-3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5.7626450780042461E-6</v>
      </c>
      <c r="C5" s="447" t="s">
        <v>211</v>
      </c>
      <c r="D5" s="432">
        <f>SUM(D6:D11)</f>
        <v>1.9218885406261669E-5</v>
      </c>
      <c r="E5" s="432">
        <f>SUM(E6:E11)</f>
        <v>1.1082500953852534E-3</v>
      </c>
      <c r="F5" s="445" t="s">
        <v>211</v>
      </c>
      <c r="G5" s="432">
        <f>SUM(G6:G11)</f>
        <v>0.24571356119498297</v>
      </c>
      <c r="H5" s="432">
        <f>SUM(H6:H11)</f>
        <v>4.2315775985918846E-2</v>
      </c>
      <c r="I5" s="447" t="s">
        <v>211</v>
      </c>
      <c r="J5" s="447" t="s">
        <v>211</v>
      </c>
      <c r="K5" s="447" t="s">
        <v>211</v>
      </c>
      <c r="L5" s="447" t="s">
        <v>211</v>
      </c>
      <c r="M5" s="432">
        <f>SUM(M6:M11)</f>
        <v>1.2877371504212998E-2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2.4653086941921345E-6</v>
      </c>
      <c r="C6" s="433"/>
      <c r="D6" s="433">
        <f>vkm_2011_GW_PW*SUMIFS(TableVerdeelsleutelVkm[CNG],TableVerdeelsleutelVkm[Voertuigtype],"Lichte voertuigen")*SUMIFS(TableECFTransport[EnergieConsumptieFactor (PJ per km)],TableECFTransport[Index],CONCATENATE($A6,"_CNG_CNG"))</f>
        <v>6.0203251180043212E-6</v>
      </c>
      <c r="E6" s="435">
        <f>vkm_2011_GW_PW*SUMIFS(TableVerdeelsleutelVkm[LPG],TableVerdeelsleutelVkm[Voertuigtype],"Lichte voertuigen")*SUMIFS(TableECFTransport[EnergieConsumptieFactor (PJ per km)],TableECFTransport[Index],CONCATENATE($A6,"_LPG_LPG"))</f>
        <v>3.5685376079177834E-4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5.158740896324044E-2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1.351957781045977E-2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2.9156107695965032E-3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5.1179831478924076E-2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2.0649066667832586E-5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2.2800456574570841E-3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2.624025311860349E-6</v>
      </c>
      <c r="C8" s="433"/>
      <c r="D8" s="435">
        <f>vkm_2011_NGW_PW*SUMIFS(TableVerdeelsleutelVkm[CNG],TableVerdeelsleutelVkm[Voertuigtype],"Lichte voertuigen")*SUMIFS(TableECFTransport[EnergieConsumptieFactor (PJ per km)],TableECFTransport[Index],CONCATENATE($A8,"_CNG_CNG"))</f>
        <v>1.1496885990532941E-5</v>
      </c>
      <c r="E8" s="435">
        <f>vkm_2011_NGW_PW*SUMIFS(TableVerdeelsleutelVkm[LPG],TableVerdeelsleutelVkm[Voertuigtype],"Lichte voertuigen")*SUMIFS(TableECFTransport[EnergieConsumptieFactor (PJ per km)],TableECFTransport[Index],CONCATENATE($A8,"_LPG_LPG"))</f>
        <v>6.2518587959823799E-4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8.5378711877929864E-2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2.4723289754559622E-2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4.9328156464937207E-3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2.9902590830263993E-2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1.050453280553715E-5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1.3320798184219085E-3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6.7331107195176286E-7</v>
      </c>
      <c r="C10" s="433"/>
      <c r="D10" s="435">
        <f>vkm_2011_SW_PW*SUMIFS(TableVerdeelsleutelVkm[CNG],TableVerdeelsleutelVkm[Voertuigtype],"Lichte voertuigen")*SUMIFS(TableECFTransport[EnergieConsumptieFactor (PJ per km)],TableECFTransport[Index],CONCATENATE($A10,"_CNG_CNG"))</f>
        <v>1.7016742977244059E-6</v>
      </c>
      <c r="E10" s="435">
        <f>vkm_2011_SW_PW*SUMIFS(TableVerdeelsleutelVkm[LPG],TableVerdeelsleutelVkm[Voertuigtype],"Lichte voertuigen")*SUMIFS(TableECFTransport[EnergieConsumptieFactor (PJ per km)],TableECFTransport[Index],CONCATENATE($A10,"_LPG_LPG"))</f>
        <v>1.2621045499523699E-4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1.6627521546332652E-2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4.0370302056565348E-3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9.2509014416229749E-4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1.1037496498291931E-2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4.7246157695473023E-6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4.9172946808148481E-4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1.6007347438900683</v>
      </c>
      <c r="C14" s="22"/>
      <c r="D14" s="22">
        <f t="shared" ref="D14:M14" si="0">((D5)*10^9/3600)+D12</f>
        <v>5.3385792795171305</v>
      </c>
      <c r="E14" s="22">
        <f t="shared" si="0"/>
        <v>307.84724871812597</v>
      </c>
      <c r="F14" s="22"/>
      <c r="G14" s="22">
        <f t="shared" si="0"/>
        <v>68253.766998606385</v>
      </c>
      <c r="H14" s="22">
        <f t="shared" si="0"/>
        <v>11754.382218310791</v>
      </c>
      <c r="I14" s="22"/>
      <c r="J14" s="22"/>
      <c r="K14" s="22"/>
      <c r="L14" s="22"/>
      <c r="M14" s="22">
        <f t="shared" si="0"/>
        <v>3577.047640059166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0.20969127735642823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0.3356601131551234</v>
      </c>
      <c r="C18" s="24"/>
      <c r="D18" s="24">
        <f t="shared" ref="D18:M18" si="1">D14*D16</f>
        <v>1.0783930144624605</v>
      </c>
      <c r="E18" s="24">
        <f t="shared" si="1"/>
        <v>69.88132545901459</v>
      </c>
      <c r="F18" s="24"/>
      <c r="G18" s="24">
        <f t="shared" si="1"/>
        <v>18223.755788627906</v>
      </c>
      <c r="H18" s="24">
        <f t="shared" si="1"/>
        <v>2926.8411723593872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2.2679378243399559E-3</v>
      </c>
      <c r="H50" s="323">
        <f t="shared" si="2"/>
        <v>0</v>
      </c>
      <c r="I50" s="323">
        <f t="shared" si="2"/>
        <v>0</v>
      </c>
      <c r="J50" s="323">
        <f t="shared" si="2"/>
        <v>0</v>
      </c>
      <c r="K50" s="323">
        <f t="shared" si="2"/>
        <v>0</v>
      </c>
      <c r="L50" s="323">
        <f t="shared" si="2"/>
        <v>0</v>
      </c>
      <c r="M50" s="323">
        <f t="shared" si="2"/>
        <v>9.9588891064224708E-5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2.2679378243399559E-3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9.9588891064224708E-5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629.98272898332107</v>
      </c>
      <c r="H54" s="22">
        <f t="shared" si="3"/>
        <v>0</v>
      </c>
      <c r="I54" s="22">
        <f t="shared" si="3"/>
        <v>0</v>
      </c>
      <c r="J54" s="22">
        <f t="shared" si="3"/>
        <v>0</v>
      </c>
      <c r="K54" s="22">
        <f t="shared" si="3"/>
        <v>0</v>
      </c>
      <c r="L54" s="22">
        <f t="shared" si="3"/>
        <v>0</v>
      </c>
      <c r="M54" s="22">
        <f t="shared" si="3"/>
        <v>27.663580851173531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0.20969127735642823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168.20538863854674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9126.0199378095622</v>
      </c>
      <c r="D10" s="688">
        <f ca="1">tertiair!C16</f>
        <v>0</v>
      </c>
      <c r="E10" s="688">
        <f ca="1">tertiair!D16</f>
        <v>11311.639550924907</v>
      </c>
      <c r="F10" s="688">
        <f>tertiair!E16</f>
        <v>84.505941812969965</v>
      </c>
      <c r="G10" s="688">
        <f ca="1">tertiair!F16</f>
        <v>1721.5645642662937</v>
      </c>
      <c r="H10" s="688">
        <f>tertiair!G16</f>
        <v>0</v>
      </c>
      <c r="I10" s="688">
        <f>tertiair!H16</f>
        <v>0</v>
      </c>
      <c r="J10" s="688">
        <f>tertiair!I16</f>
        <v>0</v>
      </c>
      <c r="K10" s="688">
        <f>tertiair!J16</f>
        <v>0</v>
      </c>
      <c r="L10" s="688">
        <f>tertiair!K16</f>
        <v>0</v>
      </c>
      <c r="M10" s="688">
        <f ca="1">tertiair!L16</f>
        <v>0</v>
      </c>
      <c r="N10" s="688">
        <f>tertiair!M16</f>
        <v>0</v>
      </c>
      <c r="O10" s="688">
        <f ca="1">tertiair!N16</f>
        <v>604.57919306748204</v>
      </c>
      <c r="P10" s="688">
        <f>tertiair!O16</f>
        <v>0</v>
      </c>
      <c r="Q10" s="689">
        <f>tertiair!P16</f>
        <v>0</v>
      </c>
      <c r="R10" s="691">
        <f ca="1">SUM(C10:Q10)</f>
        <v>22848.309187881216</v>
      </c>
      <c r="S10" s="68"/>
    </row>
    <row r="11" spans="1:19" s="457" customFormat="1">
      <c r="A11" s="803" t="s">
        <v>225</v>
      </c>
      <c r="B11" s="808"/>
      <c r="C11" s="688">
        <f>huishoudens!B8</f>
        <v>21128.548680008535</v>
      </c>
      <c r="D11" s="688">
        <f>huishoudens!C8</f>
        <v>0</v>
      </c>
      <c r="E11" s="688">
        <f>huishoudens!D8</f>
        <v>29860.079375855119</v>
      </c>
      <c r="F11" s="688">
        <f>huishoudens!E8</f>
        <v>1847.9298010441514</v>
      </c>
      <c r="G11" s="688">
        <f>huishoudens!F8</f>
        <v>19583.939203748949</v>
      </c>
      <c r="H11" s="688">
        <f>huishoudens!G8</f>
        <v>0</v>
      </c>
      <c r="I11" s="688">
        <f>huishoudens!H8</f>
        <v>0</v>
      </c>
      <c r="J11" s="688">
        <f>huishoudens!I8</f>
        <v>0</v>
      </c>
      <c r="K11" s="688">
        <f>huishoudens!J8</f>
        <v>0</v>
      </c>
      <c r="L11" s="688">
        <f>huishoudens!K8</f>
        <v>0</v>
      </c>
      <c r="M11" s="688">
        <f>huishoudens!L8</f>
        <v>0</v>
      </c>
      <c r="N11" s="688">
        <f>huishoudens!M8</f>
        <v>0</v>
      </c>
      <c r="O11" s="688">
        <f>huishoudens!N8</f>
        <v>9058.4610477493006</v>
      </c>
      <c r="P11" s="688">
        <f>huishoudens!O8</f>
        <v>70.350000000000009</v>
      </c>
      <c r="Q11" s="689">
        <f>huishoudens!P8</f>
        <v>476.66666666666663</v>
      </c>
      <c r="R11" s="691">
        <f>SUM(C11:Q11)</f>
        <v>82025.974775072726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9428.4320375902971</v>
      </c>
      <c r="D13" s="688">
        <f>industrie!C18</f>
        <v>0</v>
      </c>
      <c r="E13" s="688">
        <f>industrie!D18</f>
        <v>7791.6746003641783</v>
      </c>
      <c r="F13" s="688">
        <f>industrie!E18</f>
        <v>93.610943628969835</v>
      </c>
      <c r="G13" s="688">
        <f>industrie!F18</f>
        <v>1471.2018264947349</v>
      </c>
      <c r="H13" s="688">
        <f>industrie!G18</f>
        <v>0</v>
      </c>
      <c r="I13" s="688">
        <f>industrie!H18</f>
        <v>0</v>
      </c>
      <c r="J13" s="688">
        <f>industrie!I18</f>
        <v>0</v>
      </c>
      <c r="K13" s="688">
        <f>industrie!J18</f>
        <v>2.3450324799322333</v>
      </c>
      <c r="L13" s="688">
        <f>industrie!K18</f>
        <v>0</v>
      </c>
      <c r="M13" s="688">
        <f>industrie!L18</f>
        <v>0</v>
      </c>
      <c r="N13" s="688">
        <f>industrie!M18</f>
        <v>0</v>
      </c>
      <c r="O13" s="688">
        <f>industrie!N18</f>
        <v>230.38079021399594</v>
      </c>
      <c r="P13" s="688">
        <f>industrie!O18</f>
        <v>0</v>
      </c>
      <c r="Q13" s="689">
        <f>industrie!P18</f>
        <v>0</v>
      </c>
      <c r="R13" s="691">
        <f>SUM(C13:Q13)</f>
        <v>19017.645230772108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39683.000655408396</v>
      </c>
      <c r="D16" s="721">
        <f t="shared" ref="D16:R16" ca="1" si="0">SUM(D9:D15)</f>
        <v>0</v>
      </c>
      <c r="E16" s="721">
        <f t="shared" ca="1" si="0"/>
        <v>48963.393527144202</v>
      </c>
      <c r="F16" s="721">
        <f t="shared" si="0"/>
        <v>2026.0466864860912</v>
      </c>
      <c r="G16" s="721">
        <f t="shared" ca="1" si="0"/>
        <v>22776.705594509978</v>
      </c>
      <c r="H16" s="721">
        <f t="shared" si="0"/>
        <v>0</v>
      </c>
      <c r="I16" s="721">
        <f t="shared" si="0"/>
        <v>0</v>
      </c>
      <c r="J16" s="721">
        <f t="shared" si="0"/>
        <v>0</v>
      </c>
      <c r="K16" s="721">
        <f t="shared" si="0"/>
        <v>2.3450324799322333</v>
      </c>
      <c r="L16" s="721">
        <f t="shared" si="0"/>
        <v>0</v>
      </c>
      <c r="M16" s="721">
        <f t="shared" ca="1" si="0"/>
        <v>0</v>
      </c>
      <c r="N16" s="721">
        <f t="shared" si="0"/>
        <v>0</v>
      </c>
      <c r="O16" s="721">
        <f t="shared" ca="1" si="0"/>
        <v>9893.421031030779</v>
      </c>
      <c r="P16" s="721">
        <f t="shared" si="0"/>
        <v>70.350000000000009</v>
      </c>
      <c r="Q16" s="721">
        <f t="shared" si="0"/>
        <v>476.66666666666663</v>
      </c>
      <c r="R16" s="721">
        <f t="shared" ca="1" si="0"/>
        <v>123891.92919372604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629.98272898332107</v>
      </c>
      <c r="I19" s="688">
        <f>transport!H54</f>
        <v>0</v>
      </c>
      <c r="J19" s="688">
        <f>transport!I54</f>
        <v>0</v>
      </c>
      <c r="K19" s="688">
        <f>transport!J54</f>
        <v>0</v>
      </c>
      <c r="L19" s="688">
        <f>transport!K54</f>
        <v>0</v>
      </c>
      <c r="M19" s="688">
        <f>transport!L54</f>
        <v>0</v>
      </c>
      <c r="N19" s="688">
        <f>transport!M54</f>
        <v>27.663580851173531</v>
      </c>
      <c r="O19" s="688">
        <f>transport!N54</f>
        <v>0</v>
      </c>
      <c r="P19" s="688">
        <f>transport!O54</f>
        <v>0</v>
      </c>
      <c r="Q19" s="689">
        <f>transport!P54</f>
        <v>0</v>
      </c>
      <c r="R19" s="691">
        <f>SUM(C19:Q19)</f>
        <v>657.64630983449456</v>
      </c>
      <c r="S19" s="68"/>
    </row>
    <row r="20" spans="1:19" s="457" customFormat="1">
      <c r="A20" s="803" t="s">
        <v>307</v>
      </c>
      <c r="B20" s="808"/>
      <c r="C20" s="688">
        <f>transport!B14</f>
        <v>1.6007347438900683</v>
      </c>
      <c r="D20" s="688">
        <f>transport!C14</f>
        <v>0</v>
      </c>
      <c r="E20" s="688">
        <f>transport!D14</f>
        <v>5.3385792795171305</v>
      </c>
      <c r="F20" s="688">
        <f>transport!E14</f>
        <v>307.84724871812597</v>
      </c>
      <c r="G20" s="688">
        <f>transport!F14</f>
        <v>0</v>
      </c>
      <c r="H20" s="688">
        <f>transport!G14</f>
        <v>68253.766998606385</v>
      </c>
      <c r="I20" s="688">
        <f>transport!H14</f>
        <v>11754.382218310791</v>
      </c>
      <c r="J20" s="688">
        <f>transport!I14</f>
        <v>0</v>
      </c>
      <c r="K20" s="688">
        <f>transport!J14</f>
        <v>0</v>
      </c>
      <c r="L20" s="688">
        <f>transport!K14</f>
        <v>0</v>
      </c>
      <c r="M20" s="688">
        <f>transport!L14</f>
        <v>0</v>
      </c>
      <c r="N20" s="688">
        <f>transport!M14</f>
        <v>3577.047640059166</v>
      </c>
      <c r="O20" s="688">
        <f>transport!N14</f>
        <v>0</v>
      </c>
      <c r="P20" s="688">
        <f>transport!O14</f>
        <v>0</v>
      </c>
      <c r="Q20" s="689">
        <f>transport!P14</f>
        <v>0</v>
      </c>
      <c r="R20" s="691">
        <f>SUM(C20:Q20)</f>
        <v>83899.983419717872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1.6007347438900683</v>
      </c>
      <c r="D22" s="806">
        <f t="shared" ref="D22:R22" si="1">SUM(D18:D21)</f>
        <v>0</v>
      </c>
      <c r="E22" s="806">
        <f t="shared" si="1"/>
        <v>5.3385792795171305</v>
      </c>
      <c r="F22" s="806">
        <f t="shared" si="1"/>
        <v>307.84724871812597</v>
      </c>
      <c r="G22" s="806">
        <f t="shared" si="1"/>
        <v>0</v>
      </c>
      <c r="H22" s="806">
        <f t="shared" si="1"/>
        <v>68883.749727589704</v>
      </c>
      <c r="I22" s="806">
        <f t="shared" si="1"/>
        <v>11754.382218310791</v>
      </c>
      <c r="J22" s="806">
        <f t="shared" si="1"/>
        <v>0</v>
      </c>
      <c r="K22" s="806">
        <f t="shared" si="1"/>
        <v>0</v>
      </c>
      <c r="L22" s="806">
        <f t="shared" si="1"/>
        <v>0</v>
      </c>
      <c r="M22" s="806">
        <f t="shared" si="1"/>
        <v>0</v>
      </c>
      <c r="N22" s="806">
        <f t="shared" si="1"/>
        <v>3604.7112209103398</v>
      </c>
      <c r="O22" s="806">
        <f t="shared" si="1"/>
        <v>0</v>
      </c>
      <c r="P22" s="806">
        <f t="shared" si="1"/>
        <v>0</v>
      </c>
      <c r="Q22" s="806">
        <f t="shared" si="1"/>
        <v>0</v>
      </c>
      <c r="R22" s="806">
        <f t="shared" si="1"/>
        <v>84557.629729552369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1231.0941786244182</v>
      </c>
      <c r="D24" s="688">
        <f>+landbouw!C8</f>
        <v>0</v>
      </c>
      <c r="E24" s="688">
        <f>+landbouw!D8</f>
        <v>129.03666136158208</v>
      </c>
      <c r="F24" s="688">
        <f>+landbouw!E8</f>
        <v>11.597732022799665</v>
      </c>
      <c r="G24" s="688">
        <f>+landbouw!F8</f>
        <v>4017.4688691279134</v>
      </c>
      <c r="H24" s="688">
        <f>+landbouw!G8</f>
        <v>0</v>
      </c>
      <c r="I24" s="688">
        <f>+landbouw!H8</f>
        <v>0</v>
      </c>
      <c r="J24" s="688">
        <f>+landbouw!I8</f>
        <v>0</v>
      </c>
      <c r="K24" s="688">
        <f>+landbouw!J8</f>
        <v>152.29233793677508</v>
      </c>
      <c r="L24" s="688">
        <f>+landbouw!K8</f>
        <v>0</v>
      </c>
      <c r="M24" s="688">
        <f>+landbouw!L8</f>
        <v>0</v>
      </c>
      <c r="N24" s="688">
        <f>+landbouw!M8</f>
        <v>0</v>
      </c>
      <c r="O24" s="688">
        <f>+landbouw!N8</f>
        <v>0</v>
      </c>
      <c r="P24" s="688">
        <f>+landbouw!O8</f>
        <v>0</v>
      </c>
      <c r="Q24" s="689">
        <f>+landbouw!P8</f>
        <v>0</v>
      </c>
      <c r="R24" s="691">
        <f>SUM(C24:Q24)</f>
        <v>5541.4897790734885</v>
      </c>
      <c r="S24" s="68"/>
    </row>
    <row r="25" spans="1:19" s="457" customFormat="1" ht="15" thickBot="1">
      <c r="A25" s="825" t="s">
        <v>912</v>
      </c>
      <c r="B25" s="1001"/>
      <c r="C25" s="1002">
        <f>IF(Onbekend_ele_kWh="---",0,Onbekend_ele_kWh)/1000+IF(REST_rest_ele_kWh="---",0,REST_rest_ele_kWh)/1000</f>
        <v>428.72519650324801</v>
      </c>
      <c r="D25" s="1002"/>
      <c r="E25" s="1002">
        <f>IF(onbekend_gas_kWh="---",0,onbekend_gas_kWh)/1000+IF(REST_rest_gas_kWh="---",0,REST_rest_gas_kWh)/1000</f>
        <v>865.13827703316997</v>
      </c>
      <c r="F25" s="1002"/>
      <c r="G25" s="1002"/>
      <c r="H25" s="1002"/>
      <c r="I25" s="1002"/>
      <c r="J25" s="1002"/>
      <c r="K25" s="1002"/>
      <c r="L25" s="1002"/>
      <c r="M25" s="1002"/>
      <c r="N25" s="1002"/>
      <c r="O25" s="1002"/>
      <c r="P25" s="1002"/>
      <c r="Q25" s="1003"/>
      <c r="R25" s="691">
        <f>SUM(C25:Q25)</f>
        <v>1293.863473536418</v>
      </c>
      <c r="S25" s="68"/>
    </row>
    <row r="26" spans="1:19" s="457" customFormat="1" ht="15.75" thickBot="1">
      <c r="A26" s="694" t="s">
        <v>913</v>
      </c>
      <c r="B26" s="811"/>
      <c r="C26" s="806">
        <f>SUM(C24:C25)</f>
        <v>1659.8193751276663</v>
      </c>
      <c r="D26" s="806">
        <f t="shared" ref="D26:R26" si="2">SUM(D24:D25)</f>
        <v>0</v>
      </c>
      <c r="E26" s="806">
        <f t="shared" si="2"/>
        <v>994.17493839475208</v>
      </c>
      <c r="F26" s="806">
        <f t="shared" si="2"/>
        <v>11.597732022799665</v>
      </c>
      <c r="G26" s="806">
        <f t="shared" si="2"/>
        <v>4017.4688691279134</v>
      </c>
      <c r="H26" s="806">
        <f t="shared" si="2"/>
        <v>0</v>
      </c>
      <c r="I26" s="806">
        <f t="shared" si="2"/>
        <v>0</v>
      </c>
      <c r="J26" s="806">
        <f t="shared" si="2"/>
        <v>0</v>
      </c>
      <c r="K26" s="806">
        <f t="shared" si="2"/>
        <v>152.29233793677508</v>
      </c>
      <c r="L26" s="806">
        <f t="shared" si="2"/>
        <v>0</v>
      </c>
      <c r="M26" s="806">
        <f t="shared" si="2"/>
        <v>0</v>
      </c>
      <c r="N26" s="806">
        <f t="shared" si="2"/>
        <v>0</v>
      </c>
      <c r="O26" s="806">
        <f t="shared" si="2"/>
        <v>0</v>
      </c>
      <c r="P26" s="806">
        <f t="shared" si="2"/>
        <v>0</v>
      </c>
      <c r="Q26" s="806">
        <f t="shared" si="2"/>
        <v>0</v>
      </c>
      <c r="R26" s="806">
        <f t="shared" si="2"/>
        <v>6835.3532526099061</v>
      </c>
      <c r="S26" s="68"/>
    </row>
    <row r="27" spans="1:19" s="457" customFormat="1" ht="17.25" thickTop="1" thickBot="1">
      <c r="A27" s="695" t="s">
        <v>116</v>
      </c>
      <c r="B27" s="798"/>
      <c r="C27" s="696">
        <f ca="1">C22+C16+C26</f>
        <v>41344.420765279952</v>
      </c>
      <c r="D27" s="696">
        <f t="shared" ref="D27:R27" ca="1" si="3">D22+D16+D26</f>
        <v>0</v>
      </c>
      <c r="E27" s="696">
        <f t="shared" ca="1" si="3"/>
        <v>49962.907044818472</v>
      </c>
      <c r="F27" s="696">
        <f t="shared" si="3"/>
        <v>2345.4916672270169</v>
      </c>
      <c r="G27" s="696">
        <f t="shared" ca="1" si="3"/>
        <v>26794.174463637893</v>
      </c>
      <c r="H27" s="696">
        <f t="shared" si="3"/>
        <v>68883.749727589704</v>
      </c>
      <c r="I27" s="696">
        <f t="shared" si="3"/>
        <v>11754.382218310791</v>
      </c>
      <c r="J27" s="696">
        <f t="shared" si="3"/>
        <v>0</v>
      </c>
      <c r="K27" s="696">
        <f t="shared" si="3"/>
        <v>154.63737041670731</v>
      </c>
      <c r="L27" s="696">
        <f t="shared" si="3"/>
        <v>0</v>
      </c>
      <c r="M27" s="696">
        <f t="shared" ca="1" si="3"/>
        <v>0</v>
      </c>
      <c r="N27" s="696">
        <f t="shared" si="3"/>
        <v>3604.7112209103398</v>
      </c>
      <c r="O27" s="696">
        <f t="shared" ca="1" si="3"/>
        <v>9893.421031030779</v>
      </c>
      <c r="P27" s="696">
        <f t="shared" si="3"/>
        <v>70.350000000000009</v>
      </c>
      <c r="Q27" s="696">
        <f t="shared" si="3"/>
        <v>476.66666666666663</v>
      </c>
      <c r="R27" s="696">
        <f t="shared" ca="1" si="3"/>
        <v>215284.91217588831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1913.6467779395191</v>
      </c>
      <c r="D40" s="688">
        <f ca="1">tertiair!C20</f>
        <v>0</v>
      </c>
      <c r="E40" s="688">
        <f ca="1">tertiair!D20</f>
        <v>2284.9511892868313</v>
      </c>
      <c r="F40" s="688">
        <f>tertiair!E20</f>
        <v>19.182848791544181</v>
      </c>
      <c r="G40" s="688">
        <f ca="1">tertiair!F20</f>
        <v>459.65773865910046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4677.4385546769954</v>
      </c>
    </row>
    <row r="41" spans="1:18">
      <c r="A41" s="816" t="s">
        <v>225</v>
      </c>
      <c r="B41" s="823"/>
      <c r="C41" s="688">
        <f ca="1">huishoudens!B12</f>
        <v>4430.4723613984652</v>
      </c>
      <c r="D41" s="688">
        <f ca="1">huishoudens!C12</f>
        <v>0</v>
      </c>
      <c r="E41" s="688">
        <f>huishoudens!D12</f>
        <v>6031.7360339227344</v>
      </c>
      <c r="F41" s="688">
        <f>huishoudens!E12</f>
        <v>419.48006483702238</v>
      </c>
      <c r="G41" s="688">
        <f>huishoudens!F12</f>
        <v>5228.9117674009694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16110.600227559189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1977.0599574305807</v>
      </c>
      <c r="D43" s="688">
        <f ca="1">industrie!C22</f>
        <v>0</v>
      </c>
      <c r="E43" s="688">
        <f>industrie!D22</f>
        <v>1573.9182692735642</v>
      </c>
      <c r="F43" s="688">
        <f>industrie!E22</f>
        <v>21.249684203776152</v>
      </c>
      <c r="G43" s="688">
        <f>industrie!F22</f>
        <v>392.8108876740942</v>
      </c>
      <c r="H43" s="688">
        <f>industrie!G22</f>
        <v>0</v>
      </c>
      <c r="I43" s="688">
        <f>industrie!H22</f>
        <v>0</v>
      </c>
      <c r="J43" s="688">
        <f>industrie!I22</f>
        <v>0</v>
      </c>
      <c r="K43" s="688">
        <f>industrie!J22</f>
        <v>0.83014149789601055</v>
      </c>
      <c r="L43" s="688">
        <f>industrie!K22</f>
        <v>0</v>
      </c>
      <c r="M43" s="688">
        <f>industrie!L22</f>
        <v>0</v>
      </c>
      <c r="N43" s="688">
        <f>industrie!M22</f>
        <v>0</v>
      </c>
      <c r="O43" s="688">
        <f>industrie!N22</f>
        <v>0</v>
      </c>
      <c r="P43" s="688">
        <f>industrie!O22</f>
        <v>0</v>
      </c>
      <c r="Q43" s="763">
        <f>industrie!P22</f>
        <v>0</v>
      </c>
      <c r="R43" s="843">
        <f t="shared" ca="1" si="4"/>
        <v>3965.8689400799112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8321.1790967685647</v>
      </c>
      <c r="D46" s="721">
        <f t="shared" ref="D46:Q46" ca="1" si="5">SUM(D39:D45)</f>
        <v>0</v>
      </c>
      <c r="E46" s="721">
        <f t="shared" ca="1" si="5"/>
        <v>9890.6054924831315</v>
      </c>
      <c r="F46" s="721">
        <f t="shared" si="5"/>
        <v>459.91259783234273</v>
      </c>
      <c r="G46" s="721">
        <f t="shared" ca="1" si="5"/>
        <v>6081.3803937341645</v>
      </c>
      <c r="H46" s="721">
        <f t="shared" si="5"/>
        <v>0</v>
      </c>
      <c r="I46" s="721">
        <f t="shared" si="5"/>
        <v>0</v>
      </c>
      <c r="J46" s="721">
        <f t="shared" si="5"/>
        <v>0</v>
      </c>
      <c r="K46" s="721">
        <f t="shared" si="5"/>
        <v>0.83014149789601055</v>
      </c>
      <c r="L46" s="721">
        <f t="shared" si="5"/>
        <v>0</v>
      </c>
      <c r="M46" s="721">
        <f t="shared" ca="1" si="5"/>
        <v>0</v>
      </c>
      <c r="N46" s="721">
        <f t="shared" si="5"/>
        <v>0</v>
      </c>
      <c r="O46" s="721">
        <f t="shared" ca="1" si="5"/>
        <v>0</v>
      </c>
      <c r="P46" s="721">
        <f t="shared" si="5"/>
        <v>0</v>
      </c>
      <c r="Q46" s="721">
        <f t="shared" si="5"/>
        <v>0</v>
      </c>
      <c r="R46" s="721">
        <f ca="1">SUM(R39:R45)</f>
        <v>24753.907722316097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168.20538863854674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168.20538863854674</v>
      </c>
    </row>
    <row r="50" spans="1:18">
      <c r="A50" s="819" t="s">
        <v>307</v>
      </c>
      <c r="B50" s="829"/>
      <c r="C50" s="1008">
        <f ca="1">transport!B18</f>
        <v>0.3356601131551234</v>
      </c>
      <c r="D50" s="1008">
        <f>transport!C18</f>
        <v>0</v>
      </c>
      <c r="E50" s="1008">
        <f>transport!D18</f>
        <v>1.0783930144624605</v>
      </c>
      <c r="F50" s="1008">
        <f>transport!E18</f>
        <v>69.88132545901459</v>
      </c>
      <c r="G50" s="1008">
        <f>transport!F18</f>
        <v>0</v>
      </c>
      <c r="H50" s="1008">
        <f>transport!G18</f>
        <v>18223.755788627906</v>
      </c>
      <c r="I50" s="1008">
        <f>transport!H18</f>
        <v>2926.8411723593872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21221.892339573926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0.3356601131551234</v>
      </c>
      <c r="D52" s="721">
        <f t="shared" ref="D52:Q52" ca="1" si="6">SUM(D48:D51)</f>
        <v>0</v>
      </c>
      <c r="E52" s="721">
        <f t="shared" si="6"/>
        <v>1.0783930144624605</v>
      </c>
      <c r="F52" s="721">
        <f t="shared" si="6"/>
        <v>69.88132545901459</v>
      </c>
      <c r="G52" s="721">
        <f t="shared" si="6"/>
        <v>0</v>
      </c>
      <c r="H52" s="721">
        <f t="shared" si="6"/>
        <v>18391.961177266454</v>
      </c>
      <c r="I52" s="721">
        <f t="shared" si="6"/>
        <v>2926.8411723593872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21390.097728212473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258.14971086181708</v>
      </c>
      <c r="D54" s="1008">
        <f ca="1">+landbouw!C12</f>
        <v>0</v>
      </c>
      <c r="E54" s="1008">
        <f>+landbouw!D12</f>
        <v>26.065405595039582</v>
      </c>
      <c r="F54" s="1008">
        <f>+landbouw!E12</f>
        <v>2.6326851691755242</v>
      </c>
      <c r="G54" s="1008">
        <f>+landbouw!F12</f>
        <v>1072.6641880571528</v>
      </c>
      <c r="H54" s="1008">
        <f>+landbouw!G12</f>
        <v>0</v>
      </c>
      <c r="I54" s="1008">
        <f>+landbouw!H12</f>
        <v>0</v>
      </c>
      <c r="J54" s="1008">
        <f>+landbouw!I12</f>
        <v>0</v>
      </c>
      <c r="K54" s="1008">
        <f>+landbouw!J12</f>
        <v>53.911487629618378</v>
      </c>
      <c r="L54" s="1008">
        <f>+landbouw!K12</f>
        <v>0</v>
      </c>
      <c r="M54" s="1008">
        <f>+landbouw!L12</f>
        <v>0</v>
      </c>
      <c r="N54" s="1008">
        <f>+landbouw!M12</f>
        <v>0</v>
      </c>
      <c r="O54" s="1008">
        <f>+landbouw!N12</f>
        <v>0</v>
      </c>
      <c r="P54" s="1008">
        <f>+landbouw!O12</f>
        <v>0</v>
      </c>
      <c r="Q54" s="1009">
        <f>+landbouw!P12</f>
        <v>0</v>
      </c>
      <c r="R54" s="720">
        <f ca="1">SUM(C54:Q54)</f>
        <v>1413.4234773128035</v>
      </c>
    </row>
    <row r="55" spans="1:18" ht="15" thickBot="1">
      <c r="A55" s="819" t="s">
        <v>912</v>
      </c>
      <c r="B55" s="829"/>
      <c r="C55" s="1008">
        <f ca="1">C25*'EF ele_warmte'!B12</f>
        <v>89.899934089651779</v>
      </c>
      <c r="D55" s="1008"/>
      <c r="E55" s="1008">
        <f>E25*EF_CO2_aardgas</f>
        <v>174.75793196070035</v>
      </c>
      <c r="F55" s="1008"/>
      <c r="G55" s="1008"/>
      <c r="H55" s="1008"/>
      <c r="I55" s="1008"/>
      <c r="J55" s="1008"/>
      <c r="K55" s="1008"/>
      <c r="L55" s="1008"/>
      <c r="M55" s="1008"/>
      <c r="N55" s="1008"/>
      <c r="O55" s="1008"/>
      <c r="P55" s="1008"/>
      <c r="Q55" s="1009"/>
      <c r="R55" s="720">
        <f ca="1">SUM(C55:Q55)</f>
        <v>264.65786605035214</v>
      </c>
    </row>
    <row r="56" spans="1:18" ht="15.75" thickBot="1">
      <c r="A56" s="817" t="s">
        <v>913</v>
      </c>
      <c r="B56" s="830"/>
      <c r="C56" s="721">
        <f ca="1">SUM(C54:C55)</f>
        <v>348.04964495146885</v>
      </c>
      <c r="D56" s="721">
        <f t="shared" ref="D56:Q56" ca="1" si="7">SUM(D54:D55)</f>
        <v>0</v>
      </c>
      <c r="E56" s="721">
        <f t="shared" si="7"/>
        <v>200.82333755573993</v>
      </c>
      <c r="F56" s="721">
        <f t="shared" si="7"/>
        <v>2.6326851691755242</v>
      </c>
      <c r="G56" s="721">
        <f t="shared" si="7"/>
        <v>1072.6641880571528</v>
      </c>
      <c r="H56" s="721">
        <f t="shared" si="7"/>
        <v>0</v>
      </c>
      <c r="I56" s="721">
        <f t="shared" si="7"/>
        <v>0</v>
      </c>
      <c r="J56" s="721">
        <f t="shared" si="7"/>
        <v>0</v>
      </c>
      <c r="K56" s="721">
        <f t="shared" si="7"/>
        <v>53.911487629618378</v>
      </c>
      <c r="L56" s="721">
        <f t="shared" si="7"/>
        <v>0</v>
      </c>
      <c r="M56" s="721">
        <f t="shared" si="7"/>
        <v>0</v>
      </c>
      <c r="N56" s="721">
        <f t="shared" si="7"/>
        <v>0</v>
      </c>
      <c r="O56" s="721">
        <f t="shared" si="7"/>
        <v>0</v>
      </c>
      <c r="P56" s="721">
        <f t="shared" si="7"/>
        <v>0</v>
      </c>
      <c r="Q56" s="722">
        <f t="shared" si="7"/>
        <v>0</v>
      </c>
      <c r="R56" s="723">
        <f ca="1">SUM(R54:R55)</f>
        <v>1678.0813433631556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8669.5644018331877</v>
      </c>
      <c r="D61" s="729">
        <f t="shared" ref="D61:Q61" ca="1" si="8">D46+D52+D56</f>
        <v>0</v>
      </c>
      <c r="E61" s="729">
        <f t="shared" ca="1" si="8"/>
        <v>10092.507223053333</v>
      </c>
      <c r="F61" s="729">
        <f t="shared" si="8"/>
        <v>532.42660846053275</v>
      </c>
      <c r="G61" s="729">
        <f t="shared" ca="1" si="8"/>
        <v>7154.0445817913169</v>
      </c>
      <c r="H61" s="729">
        <f t="shared" si="8"/>
        <v>18391.961177266454</v>
      </c>
      <c r="I61" s="729">
        <f t="shared" si="8"/>
        <v>2926.8411723593872</v>
      </c>
      <c r="J61" s="729">
        <f t="shared" si="8"/>
        <v>0</v>
      </c>
      <c r="K61" s="729">
        <f t="shared" si="8"/>
        <v>54.741629127514386</v>
      </c>
      <c r="L61" s="729">
        <f t="shared" si="8"/>
        <v>0</v>
      </c>
      <c r="M61" s="729">
        <f t="shared" ca="1" si="8"/>
        <v>0</v>
      </c>
      <c r="N61" s="729">
        <f t="shared" si="8"/>
        <v>0</v>
      </c>
      <c r="O61" s="729">
        <f t="shared" ca="1" si="8"/>
        <v>0</v>
      </c>
      <c r="P61" s="729">
        <f t="shared" si="8"/>
        <v>0</v>
      </c>
      <c r="Q61" s="729">
        <f t="shared" si="8"/>
        <v>0</v>
      </c>
      <c r="R61" s="729">
        <f ca="1">R46+R52+R56</f>
        <v>47822.086793891722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0.2096912773564282</v>
      </c>
      <c r="D63" s="773">
        <f t="shared" ca="1" si="9"/>
        <v>0</v>
      </c>
      <c r="E63" s="1010">
        <f t="shared" ca="1" si="9"/>
        <v>0.20200000000000004</v>
      </c>
      <c r="F63" s="773">
        <f t="shared" si="9"/>
        <v>0.22699999999999995</v>
      </c>
      <c r="G63" s="773">
        <f t="shared" ca="1" si="9"/>
        <v>0.26699999999999996</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2115.6225669397336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2115.6225669397336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2115.6225669397336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2115.6225669397336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21128.548680008535</v>
      </c>
      <c r="C4" s="461">
        <f>huishoudens!C8</f>
        <v>0</v>
      </c>
      <c r="D4" s="461">
        <f>huishoudens!D8</f>
        <v>29860.079375855119</v>
      </c>
      <c r="E4" s="461">
        <f>huishoudens!E8</f>
        <v>1847.9298010441514</v>
      </c>
      <c r="F4" s="461">
        <f>huishoudens!F8</f>
        <v>19583.939203748949</v>
      </c>
      <c r="G4" s="461">
        <f>huishoudens!G8</f>
        <v>0</v>
      </c>
      <c r="H4" s="461">
        <f>huishoudens!H8</f>
        <v>0</v>
      </c>
      <c r="I4" s="461">
        <f>huishoudens!I8</f>
        <v>0</v>
      </c>
      <c r="J4" s="461">
        <f>huishoudens!J8</f>
        <v>0</v>
      </c>
      <c r="K4" s="461">
        <f>huishoudens!K8</f>
        <v>0</v>
      </c>
      <c r="L4" s="461">
        <f>huishoudens!L8</f>
        <v>0</v>
      </c>
      <c r="M4" s="461">
        <f>huishoudens!M8</f>
        <v>0</v>
      </c>
      <c r="N4" s="461">
        <f>huishoudens!N8</f>
        <v>9058.4610477493006</v>
      </c>
      <c r="O4" s="461">
        <f>huishoudens!O8</f>
        <v>70.350000000000009</v>
      </c>
      <c r="P4" s="462">
        <f>huishoudens!P8</f>
        <v>476.66666666666663</v>
      </c>
      <c r="Q4" s="463">
        <f>SUM(B4:P4)</f>
        <v>82025.974775072726</v>
      </c>
    </row>
    <row r="5" spans="1:17">
      <c r="A5" s="460" t="s">
        <v>156</v>
      </c>
      <c r="B5" s="461">
        <f ca="1">tertiair!B16</f>
        <v>8275.0859378095629</v>
      </c>
      <c r="C5" s="461">
        <f ca="1">tertiair!C16</f>
        <v>0</v>
      </c>
      <c r="D5" s="461">
        <f ca="1">tertiair!D16</f>
        <v>11311.639550924907</v>
      </c>
      <c r="E5" s="461">
        <f>tertiair!E16</f>
        <v>84.505941812969965</v>
      </c>
      <c r="F5" s="461">
        <f ca="1">tertiair!F16</f>
        <v>1721.5645642662937</v>
      </c>
      <c r="G5" s="461">
        <f>tertiair!G16</f>
        <v>0</v>
      </c>
      <c r="H5" s="461">
        <f>tertiair!H16</f>
        <v>0</v>
      </c>
      <c r="I5" s="461">
        <f>tertiair!I16</f>
        <v>0</v>
      </c>
      <c r="J5" s="461">
        <f>tertiair!J16</f>
        <v>0</v>
      </c>
      <c r="K5" s="461">
        <f>tertiair!K16</f>
        <v>0</v>
      </c>
      <c r="L5" s="461">
        <f ca="1">tertiair!L16</f>
        <v>0</v>
      </c>
      <c r="M5" s="461">
        <f>tertiair!M16</f>
        <v>0</v>
      </c>
      <c r="N5" s="461">
        <f ca="1">tertiair!N16</f>
        <v>604.57919306748204</v>
      </c>
      <c r="O5" s="461">
        <f>tertiair!O16</f>
        <v>0</v>
      </c>
      <c r="P5" s="462">
        <f>tertiair!P16</f>
        <v>0</v>
      </c>
      <c r="Q5" s="460">
        <f t="shared" ref="Q5:Q14" ca="1" si="0">SUM(B5:P5)</f>
        <v>21997.375187881215</v>
      </c>
    </row>
    <row r="6" spans="1:17">
      <c r="A6" s="460" t="s">
        <v>194</v>
      </c>
      <c r="B6" s="461">
        <f>'openbare verlichting'!B8</f>
        <v>850.93399999999997</v>
      </c>
      <c r="C6" s="461"/>
      <c r="D6" s="461"/>
      <c r="E6" s="461"/>
      <c r="F6" s="461"/>
      <c r="G6" s="461"/>
      <c r="H6" s="461"/>
      <c r="I6" s="461"/>
      <c r="J6" s="461"/>
      <c r="K6" s="461"/>
      <c r="L6" s="461"/>
      <c r="M6" s="461"/>
      <c r="N6" s="461"/>
      <c r="O6" s="461"/>
      <c r="P6" s="462"/>
      <c r="Q6" s="460">
        <f t="shared" si="0"/>
        <v>850.93399999999997</v>
      </c>
    </row>
    <row r="7" spans="1:17">
      <c r="A7" s="460" t="s">
        <v>112</v>
      </c>
      <c r="B7" s="461">
        <f>landbouw!B8</f>
        <v>1231.0941786244182</v>
      </c>
      <c r="C7" s="461">
        <f>landbouw!C8</f>
        <v>0</v>
      </c>
      <c r="D7" s="461">
        <f>landbouw!D8</f>
        <v>129.03666136158208</v>
      </c>
      <c r="E7" s="461">
        <f>landbouw!E8</f>
        <v>11.597732022799665</v>
      </c>
      <c r="F7" s="461">
        <f>landbouw!F8</f>
        <v>4017.4688691279134</v>
      </c>
      <c r="G7" s="461">
        <f>landbouw!G8</f>
        <v>0</v>
      </c>
      <c r="H7" s="461">
        <f>landbouw!H8</f>
        <v>0</v>
      </c>
      <c r="I7" s="461">
        <f>landbouw!I8</f>
        <v>0</v>
      </c>
      <c r="J7" s="461">
        <f>landbouw!J8</f>
        <v>152.29233793677508</v>
      </c>
      <c r="K7" s="461">
        <f>landbouw!K8</f>
        <v>0</v>
      </c>
      <c r="L7" s="461">
        <f>landbouw!L8</f>
        <v>0</v>
      </c>
      <c r="M7" s="461">
        <f>landbouw!M8</f>
        <v>0</v>
      </c>
      <c r="N7" s="461">
        <f>landbouw!N8</f>
        <v>0</v>
      </c>
      <c r="O7" s="461">
        <f>landbouw!O8</f>
        <v>0</v>
      </c>
      <c r="P7" s="462">
        <f>landbouw!P8</f>
        <v>0</v>
      </c>
      <c r="Q7" s="460">
        <f t="shared" si="0"/>
        <v>5541.4897790734885</v>
      </c>
    </row>
    <row r="8" spans="1:17">
      <c r="A8" s="460" t="s">
        <v>685</v>
      </c>
      <c r="B8" s="461">
        <f>industrie!B18</f>
        <v>9428.4320375902971</v>
      </c>
      <c r="C8" s="461">
        <f>industrie!C18</f>
        <v>0</v>
      </c>
      <c r="D8" s="461">
        <f>industrie!D18</f>
        <v>7791.6746003641783</v>
      </c>
      <c r="E8" s="461">
        <f>industrie!E18</f>
        <v>93.610943628969835</v>
      </c>
      <c r="F8" s="461">
        <f>industrie!F18</f>
        <v>1471.2018264947349</v>
      </c>
      <c r="G8" s="461">
        <f>industrie!G18</f>
        <v>0</v>
      </c>
      <c r="H8" s="461">
        <f>industrie!H18</f>
        <v>0</v>
      </c>
      <c r="I8" s="461">
        <f>industrie!I18</f>
        <v>0</v>
      </c>
      <c r="J8" s="461">
        <f>industrie!J18</f>
        <v>2.3450324799322333</v>
      </c>
      <c r="K8" s="461">
        <f>industrie!K18</f>
        <v>0</v>
      </c>
      <c r="L8" s="461">
        <f>industrie!L18</f>
        <v>0</v>
      </c>
      <c r="M8" s="461">
        <f>industrie!M18</f>
        <v>0</v>
      </c>
      <c r="N8" s="461">
        <f>industrie!N18</f>
        <v>230.38079021399594</v>
      </c>
      <c r="O8" s="461">
        <f>industrie!O18</f>
        <v>0</v>
      </c>
      <c r="P8" s="462">
        <f>industrie!P18</f>
        <v>0</v>
      </c>
      <c r="Q8" s="460">
        <f t="shared" si="0"/>
        <v>19017.645230772108</v>
      </c>
    </row>
    <row r="9" spans="1:17" s="466" customFormat="1">
      <c r="A9" s="464" t="s">
        <v>579</v>
      </c>
      <c r="B9" s="465">
        <f>transport!B14</f>
        <v>1.6007347438900683</v>
      </c>
      <c r="C9" s="465">
        <f>transport!C14</f>
        <v>0</v>
      </c>
      <c r="D9" s="465">
        <f>transport!D14</f>
        <v>5.3385792795171305</v>
      </c>
      <c r="E9" s="465">
        <f>transport!E14</f>
        <v>307.84724871812597</v>
      </c>
      <c r="F9" s="465">
        <f>transport!F14</f>
        <v>0</v>
      </c>
      <c r="G9" s="465">
        <f>transport!G14</f>
        <v>68253.766998606385</v>
      </c>
      <c r="H9" s="465">
        <f>transport!H14</f>
        <v>11754.382218310791</v>
      </c>
      <c r="I9" s="465">
        <f>transport!I14</f>
        <v>0</v>
      </c>
      <c r="J9" s="465">
        <f>transport!J14</f>
        <v>0</v>
      </c>
      <c r="K9" s="465">
        <f>transport!K14</f>
        <v>0</v>
      </c>
      <c r="L9" s="465">
        <f>transport!L14</f>
        <v>0</v>
      </c>
      <c r="M9" s="465">
        <f>transport!M14</f>
        <v>3577.047640059166</v>
      </c>
      <c r="N9" s="465">
        <f>transport!N14</f>
        <v>0</v>
      </c>
      <c r="O9" s="465">
        <f>transport!O14</f>
        <v>0</v>
      </c>
      <c r="P9" s="465">
        <f>transport!P14</f>
        <v>0</v>
      </c>
      <c r="Q9" s="464">
        <f>SUM(B9:P9)</f>
        <v>83899.983419717872</v>
      </c>
    </row>
    <row r="10" spans="1:17">
      <c r="A10" s="460" t="s">
        <v>569</v>
      </c>
      <c r="B10" s="461">
        <f>transport!B54</f>
        <v>0</v>
      </c>
      <c r="C10" s="461">
        <f>transport!C54</f>
        <v>0</v>
      </c>
      <c r="D10" s="461">
        <f>transport!D54</f>
        <v>0</v>
      </c>
      <c r="E10" s="461">
        <f>transport!E54</f>
        <v>0</v>
      </c>
      <c r="F10" s="461">
        <f>transport!F54</f>
        <v>0</v>
      </c>
      <c r="G10" s="461">
        <f>transport!G54</f>
        <v>629.98272898332107</v>
      </c>
      <c r="H10" s="461">
        <f>transport!H54</f>
        <v>0</v>
      </c>
      <c r="I10" s="461">
        <f>transport!I54</f>
        <v>0</v>
      </c>
      <c r="J10" s="461">
        <f>transport!J54</f>
        <v>0</v>
      </c>
      <c r="K10" s="461">
        <f>transport!K54</f>
        <v>0</v>
      </c>
      <c r="L10" s="461">
        <f>transport!L54</f>
        <v>0</v>
      </c>
      <c r="M10" s="461">
        <f>transport!M54</f>
        <v>27.663580851173531</v>
      </c>
      <c r="N10" s="461">
        <f>transport!N54</f>
        <v>0</v>
      </c>
      <c r="O10" s="461">
        <f>transport!O54</f>
        <v>0</v>
      </c>
      <c r="P10" s="462">
        <f>transport!P54</f>
        <v>0</v>
      </c>
      <c r="Q10" s="460">
        <f t="shared" si="0"/>
        <v>657.64630983449456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428.72519650324801</v>
      </c>
      <c r="C14" s="468"/>
      <c r="D14" s="468">
        <f>'SEAP template'!E25</f>
        <v>865.13827703316997</v>
      </c>
      <c r="E14" s="468"/>
      <c r="F14" s="468"/>
      <c r="G14" s="468"/>
      <c r="H14" s="468"/>
      <c r="I14" s="468"/>
      <c r="J14" s="468"/>
      <c r="K14" s="468"/>
      <c r="L14" s="468"/>
      <c r="M14" s="468"/>
      <c r="N14" s="468"/>
      <c r="O14" s="468"/>
      <c r="P14" s="469"/>
      <c r="Q14" s="460">
        <f t="shared" si="0"/>
        <v>1293.863473536418</v>
      </c>
    </row>
    <row r="15" spans="1:17" s="473" customFormat="1">
      <c r="A15" s="470" t="s">
        <v>573</v>
      </c>
      <c r="B15" s="471">
        <f ca="1">SUM(B4:B14)</f>
        <v>41344.42076527996</v>
      </c>
      <c r="C15" s="471">
        <f t="shared" ref="C15:Q15" ca="1" si="1">SUM(C4:C14)</f>
        <v>0</v>
      </c>
      <c r="D15" s="471">
        <f t="shared" ca="1" si="1"/>
        <v>49962.907044818479</v>
      </c>
      <c r="E15" s="471">
        <f t="shared" si="1"/>
        <v>2345.4916672270169</v>
      </c>
      <c r="F15" s="471">
        <f t="shared" ca="1" si="1"/>
        <v>26794.17446363789</v>
      </c>
      <c r="G15" s="471">
        <f t="shared" si="1"/>
        <v>68883.749727589704</v>
      </c>
      <c r="H15" s="471">
        <f t="shared" si="1"/>
        <v>11754.382218310791</v>
      </c>
      <c r="I15" s="471">
        <f t="shared" si="1"/>
        <v>0</v>
      </c>
      <c r="J15" s="471">
        <f t="shared" si="1"/>
        <v>154.63737041670731</v>
      </c>
      <c r="K15" s="471">
        <f t="shared" si="1"/>
        <v>0</v>
      </c>
      <c r="L15" s="471">
        <f t="shared" ca="1" si="1"/>
        <v>0</v>
      </c>
      <c r="M15" s="471">
        <f t="shared" si="1"/>
        <v>3604.7112209103398</v>
      </c>
      <c r="N15" s="471">
        <f t="shared" ca="1" si="1"/>
        <v>9893.421031030779</v>
      </c>
      <c r="O15" s="471">
        <f t="shared" si="1"/>
        <v>70.350000000000009</v>
      </c>
      <c r="P15" s="471">
        <f t="shared" si="1"/>
        <v>476.66666666666663</v>
      </c>
      <c r="Q15" s="471">
        <f t="shared" ca="1" si="1"/>
        <v>215284.91217588831</v>
      </c>
    </row>
    <row r="17" spans="1:17">
      <c r="A17" s="474" t="s">
        <v>574</v>
      </c>
      <c r="B17" s="778">
        <f ca="1">huishoudens!B10</f>
        <v>0.20969127735642823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4430.4723613984652</v>
      </c>
      <c r="C22" s="461">
        <f t="shared" ref="C22:C32" ca="1" si="3">C4*$C$17</f>
        <v>0</v>
      </c>
      <c r="D22" s="461">
        <f t="shared" ref="D22:D32" si="4">D4*$D$17</f>
        <v>6031.7360339227344</v>
      </c>
      <c r="E22" s="461">
        <f t="shared" ref="E22:E32" si="5">E4*$E$17</f>
        <v>419.48006483702238</v>
      </c>
      <c r="F22" s="461">
        <f t="shared" ref="F22:F32" si="6">F4*$F$17</f>
        <v>5228.9117674009694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16110.600227559189</v>
      </c>
    </row>
    <row r="23" spans="1:17">
      <c r="A23" s="460" t="s">
        <v>156</v>
      </c>
      <c r="B23" s="461">
        <f t="shared" ca="1" si="2"/>
        <v>1735.2133405335042</v>
      </c>
      <c r="C23" s="461">
        <f t="shared" ca="1" si="3"/>
        <v>0</v>
      </c>
      <c r="D23" s="461">
        <f t="shared" ca="1" si="4"/>
        <v>2284.9511892868313</v>
      </c>
      <c r="E23" s="461">
        <f t="shared" si="5"/>
        <v>19.182848791544181</v>
      </c>
      <c r="F23" s="461">
        <f t="shared" ca="1" si="6"/>
        <v>459.65773865910046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4499.00511727098</v>
      </c>
    </row>
    <row r="24" spans="1:17">
      <c r="A24" s="460" t="s">
        <v>194</v>
      </c>
      <c r="B24" s="461">
        <f t="shared" ca="1" si="2"/>
        <v>178.43343740601489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178.43343740601489</v>
      </c>
    </row>
    <row r="25" spans="1:17">
      <c r="A25" s="460" t="s">
        <v>112</v>
      </c>
      <c r="B25" s="461">
        <f t="shared" ca="1" si="2"/>
        <v>258.14971086181708</v>
      </c>
      <c r="C25" s="461">
        <f t="shared" ca="1" si="3"/>
        <v>0</v>
      </c>
      <c r="D25" s="461">
        <f t="shared" si="4"/>
        <v>26.065405595039582</v>
      </c>
      <c r="E25" s="461">
        <f t="shared" si="5"/>
        <v>2.6326851691755242</v>
      </c>
      <c r="F25" s="461">
        <f t="shared" si="6"/>
        <v>1072.6641880571528</v>
      </c>
      <c r="G25" s="461">
        <f t="shared" si="7"/>
        <v>0</v>
      </c>
      <c r="H25" s="461">
        <f t="shared" si="8"/>
        <v>0</v>
      </c>
      <c r="I25" s="461">
        <f t="shared" si="9"/>
        <v>0</v>
      </c>
      <c r="J25" s="461">
        <f t="shared" si="10"/>
        <v>53.911487629618378</v>
      </c>
      <c r="K25" s="461">
        <f t="shared" si="11"/>
        <v>0</v>
      </c>
      <c r="L25" s="461">
        <f t="shared" si="12"/>
        <v>0</v>
      </c>
      <c r="M25" s="461">
        <f t="shared" si="13"/>
        <v>0</v>
      </c>
      <c r="N25" s="461">
        <f t="shared" si="14"/>
        <v>0</v>
      </c>
      <c r="O25" s="461">
        <f t="shared" si="15"/>
        <v>0</v>
      </c>
      <c r="P25" s="462">
        <f t="shared" si="16"/>
        <v>0</v>
      </c>
      <c r="Q25" s="460">
        <f t="shared" ca="1" si="17"/>
        <v>1413.4234773128035</v>
      </c>
    </row>
    <row r="26" spans="1:17">
      <c r="A26" s="460" t="s">
        <v>685</v>
      </c>
      <c r="B26" s="461">
        <f t="shared" ca="1" si="2"/>
        <v>1977.0599574305807</v>
      </c>
      <c r="C26" s="461">
        <f t="shared" ca="1" si="3"/>
        <v>0</v>
      </c>
      <c r="D26" s="461">
        <f t="shared" si="4"/>
        <v>1573.9182692735642</v>
      </c>
      <c r="E26" s="461">
        <f t="shared" si="5"/>
        <v>21.249684203776152</v>
      </c>
      <c r="F26" s="461">
        <f t="shared" si="6"/>
        <v>392.8108876740942</v>
      </c>
      <c r="G26" s="461">
        <f t="shared" si="7"/>
        <v>0</v>
      </c>
      <c r="H26" s="461">
        <f t="shared" si="8"/>
        <v>0</v>
      </c>
      <c r="I26" s="461">
        <f t="shared" si="9"/>
        <v>0</v>
      </c>
      <c r="J26" s="461">
        <f t="shared" si="10"/>
        <v>0.83014149789601055</v>
      </c>
      <c r="K26" s="461">
        <f t="shared" si="11"/>
        <v>0</v>
      </c>
      <c r="L26" s="461">
        <f t="shared" si="12"/>
        <v>0</v>
      </c>
      <c r="M26" s="461">
        <f t="shared" si="13"/>
        <v>0</v>
      </c>
      <c r="N26" s="461">
        <f t="shared" si="14"/>
        <v>0</v>
      </c>
      <c r="O26" s="461">
        <f t="shared" si="15"/>
        <v>0</v>
      </c>
      <c r="P26" s="462">
        <f t="shared" si="16"/>
        <v>0</v>
      </c>
      <c r="Q26" s="460">
        <f t="shared" ca="1" si="17"/>
        <v>3965.8689400799112</v>
      </c>
    </row>
    <row r="27" spans="1:17" s="466" customFormat="1">
      <c r="A27" s="464" t="s">
        <v>579</v>
      </c>
      <c r="B27" s="772">
        <f t="shared" ca="1" si="2"/>
        <v>0.3356601131551234</v>
      </c>
      <c r="C27" s="465">
        <f t="shared" ca="1" si="3"/>
        <v>0</v>
      </c>
      <c r="D27" s="465">
        <f t="shared" si="4"/>
        <v>1.0783930144624605</v>
      </c>
      <c r="E27" s="465">
        <f t="shared" si="5"/>
        <v>69.88132545901459</v>
      </c>
      <c r="F27" s="465">
        <f t="shared" si="6"/>
        <v>0</v>
      </c>
      <c r="G27" s="465">
        <f t="shared" si="7"/>
        <v>18223.755788627906</v>
      </c>
      <c r="H27" s="465">
        <f t="shared" si="8"/>
        <v>2926.8411723593872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21221.892339573926</v>
      </c>
    </row>
    <row r="28" spans="1:17">
      <c r="A28" s="460" t="s">
        <v>569</v>
      </c>
      <c r="B28" s="461">
        <f t="shared" ca="1" si="2"/>
        <v>0</v>
      </c>
      <c r="C28" s="461">
        <f t="shared" ca="1" si="3"/>
        <v>0</v>
      </c>
      <c r="D28" s="461">
        <f t="shared" si="4"/>
        <v>0</v>
      </c>
      <c r="E28" s="461">
        <f t="shared" si="5"/>
        <v>0</v>
      </c>
      <c r="F28" s="461">
        <f t="shared" si="6"/>
        <v>0</v>
      </c>
      <c r="G28" s="461">
        <f t="shared" si="7"/>
        <v>168.20538863854674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168.20538863854674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89.899934089651779</v>
      </c>
      <c r="C32" s="461">
        <f t="shared" ca="1" si="3"/>
        <v>0</v>
      </c>
      <c r="D32" s="461">
        <f t="shared" si="4"/>
        <v>174.75793196070035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264.65786605035214</v>
      </c>
    </row>
    <row r="33" spans="1:17" s="473" customFormat="1">
      <c r="A33" s="470" t="s">
        <v>573</v>
      </c>
      <c r="B33" s="471">
        <f ca="1">SUM(B22:B32)</f>
        <v>8669.5644018331877</v>
      </c>
      <c r="C33" s="471">
        <f t="shared" ref="C33:Q33" ca="1" si="18">SUM(C22:C32)</f>
        <v>0</v>
      </c>
      <c r="D33" s="471">
        <f t="shared" ca="1" si="18"/>
        <v>10092.507223053335</v>
      </c>
      <c r="E33" s="471">
        <f t="shared" si="18"/>
        <v>532.42660846053286</v>
      </c>
      <c r="F33" s="471">
        <f t="shared" ca="1" si="18"/>
        <v>7154.0445817913178</v>
      </c>
      <c r="G33" s="471">
        <f t="shared" si="18"/>
        <v>18391.961177266454</v>
      </c>
      <c r="H33" s="471">
        <f t="shared" si="18"/>
        <v>2926.8411723593872</v>
      </c>
      <c r="I33" s="471">
        <f t="shared" si="18"/>
        <v>0</v>
      </c>
      <c r="J33" s="471">
        <f t="shared" si="18"/>
        <v>54.741629127514386</v>
      </c>
      <c r="K33" s="471">
        <f t="shared" si="18"/>
        <v>0</v>
      </c>
      <c r="L33" s="471">
        <f t="shared" ca="1" si="18"/>
        <v>0</v>
      </c>
      <c r="M33" s="471">
        <f t="shared" si="18"/>
        <v>0</v>
      </c>
      <c r="N33" s="471">
        <f t="shared" ca="1" si="18"/>
        <v>0</v>
      </c>
      <c r="O33" s="471">
        <f t="shared" si="18"/>
        <v>0</v>
      </c>
      <c r="P33" s="471">
        <f t="shared" si="18"/>
        <v>0</v>
      </c>
      <c r="Q33" s="471">
        <f t="shared" ca="1" si="18"/>
        <v>47822.086793891722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2115.6225669397336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2115.6225669397336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0.20969127735642823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0.20969127735642823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2019-08-12T07:55:42Z</dcterms:modified>
</cp:coreProperties>
</file>