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<sst xmlns="http://schemas.openxmlformats.org/spreadsheetml/2006/main" count="2495" uniqueCount="954">
  <si>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</si>
  <si>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</si>
  <si>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</si>
  <si>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</si>
  <si>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</si>
  <si>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</si>
  <si>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</si>
  <si>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</si>
  <si>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</si>
  <si>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</si>
  <si>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</si>
  <si>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</si>
  <si>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</si>
  <si>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</si>
  <si>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</si>
  <si>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</si>
  <si>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</si>
  <si>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</si>
  <si>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</si>
  <si>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</si>
  <si>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</si>
  <si>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</si>
  <si>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</si>
  <si>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</si>
  <si>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</si>
  <si>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</si>
  <si>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</si>
  <si>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</si>
  <si>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</si>
  <si>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</si>
  <si>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</si>
  <si>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</si>
  <si>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</si>
  <si>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</si>
  <si>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</si>
  <si>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</si>
  <si>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</si>
  <si>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</si>
  <si>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</si>
  <si>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</si>
  <si>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</si>
  <si>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</si>
  <si>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</si>
  <si>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</si>
  <si>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</si>
  <si>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</si>
  <si>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</si>
  <si>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</si>
  <si>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</si>
  <si>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</si>
  <si>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</si>
  <si>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</si>
  <si>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</si>
  <si>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</si>
  <si>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</si>
  <si>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</si>
  <si>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</si>
  <si>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</si>
  <si>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</si>
  <si>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</si>
  <si>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</si>
  <si>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</si>
  <si>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</si>
  <si>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</si>
  <si>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</si>
  <si>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</si>
  <si>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</si>
  <si>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</si>
  <si>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</si>
  <si>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</si>
  <si>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</si>
  <si>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</si>
  <si>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</si>
  <si>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</si>
  <si>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</si>
  <si>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</si>
  <si>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</si>
  <si>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</si>
  <si>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</si>
  <si>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</si>
  <si>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</si>
  <si>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</si>
  <si>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</si>
  <si>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</si>
  <si>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</si>
  <si>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</si>
  <si>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</si>
  <si>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</si>
  <si>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</si>
  <si>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</si>
  <si>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</si>
  <si>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</si>
  <si>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</si>
  <si>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</si>
  <si>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</si>
  <si>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</si>
  <si>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</si>
  <si>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</si>
  <si>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</si>
  <si>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</si>
  <si>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</si>
  <si>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</si>
  <si>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</si>
  <si>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</si>
  <si>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</si>
  <si>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</si>
  <si>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</si>
  <si>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</si>
  <si>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</si>
  <si>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</si>
  <si>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</si>
  <si>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</si>
  <si>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</si>
  <si>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</si>
  <si>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</si>
  <si>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</si>
  <si>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</si>
  <si>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</si>
  <si>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</si>
  <si>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</si>
  <si>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</si>
  <si>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</si>
  <si>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</si>
  <si>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</si>
  <si>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</si>
  <si>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</si>
  <si>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</si>
  <si>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</si>
  <si>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</si>
  <si>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</si>
  <si>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</si>
  <si>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</si>
  <si>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</si>
  <si>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</si>
  <si>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</si>
  <si>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</si>
  <si>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</si>
  <si>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</si>
  <si>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</si>
  <si>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</si>
  <si>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</si>
  <si>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</si>
  <si>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</si>
  <si>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</si>
  <si>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</si>
  <si>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</si>
  <si>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</si>
  <si>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</si>
  <si>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</si>
  <si>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</si>
  <si>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</si>
  <si>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</si>
  <si>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</si>
  <si>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</si>
  <si>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</si>
  <si>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</si>
  <si>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</si>
  <si>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</si>
  <si>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</si>
  <si>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</si>
  <si>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</si>
  <si>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</si>
  <si>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</si>
  <si>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</si>
  <si>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</si>
  <si>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</si>
  <si>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</si>
  <si>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</si>
  <si>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</si>
  <si>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</si>
  <si>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</si>
  <si>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</si>
  <si>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</si>
  <si>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</si>
  <si>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</si>
  <si>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</si>
  <si>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</si>
  <si>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</si>
  <si>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</si>
  <si>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</si>
  <si>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</si>
  <si>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</si>
  <si>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</si>
  <si>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</si>
  <si>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</si>
  <si>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</si>
  <si>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</si>
  <si>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</si>
  <si>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</si>
  <si>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</si>
  <si>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</si>
  <si>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</si>
  <si>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</si>
  <si>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</si>
  <si>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</si>
  <si>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</si>
  <si>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</si>
  <si>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</si>
  <si>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</si>
  <si>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</si>
  <si>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</si>
  <si>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</si>
  <si>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</si>
  <si>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</si>
  <si>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</si>
  <si>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</si>
  <si>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</si>
  <si>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</si>
  <si>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</si>
  <si>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</si>
  <si>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</si>
  <si>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</si>
  <si>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</si>
  <si>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</si>
  <si>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</si>
  <si>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</si>
  <si>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</si>
  <si>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</si>
  <si>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</si>
  <si>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</si>
  <si>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</si>
  <si>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</si>
  <si>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</si>
  <si>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</si>
  <si>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</si>
  <si>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</si>
  <si>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</si>
  <si>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</si>
  <si>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</si>
  <si>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</si>
  <si>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</si>
  <si>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</si>
  <si>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</si>
  <si>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</si>
  <si>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</si>
  <si>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</si>
  <si>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</si>
  <si>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</si>
  <si>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</si>
  <si>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</si>
  <si>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</si>
  <si>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</si>
  <si>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</si>
  <si>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</si>
  <si>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</si>
  <si>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</si>
  <si>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</si>
  <si>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</si>
  <si>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</si>
  <si>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</si>
  <si>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</si>
  <si>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</si>
  <si>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</si>
  <si>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</si>
  <si>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</si>
  <si>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</si>
  <si>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</si>
  <si>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</si>
  <si>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</si>
  <si>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</si>
  <si>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</si>
  <si>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</si>
  <si>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</si>
  <si>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</si>
  <si>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</si>
  <si>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</si>
  <si>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</si>
  <si>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</si>
  <si>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</si>
  <si>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</si>
  <si>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</si>
  <si>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</si>
  <si>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</si>
  <si>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</si>
  <si>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</si>
  <si>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</si>
  <si>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</si>
  <si>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</si>
  <si>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</si>
  <si>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</si>
  <si>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</si>
  <si>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</si>
  <si>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</si>
  <si>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</si>
  <si>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</si>
  <si>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</si>
  <si>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</si>
  <si>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</si>
  <si>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</si>
  <si>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</si>
  <si>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</si>
  <si>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</si>
  <si>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</si>
  <si>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</si>
  <si>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</si>
  <si>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</si>
  <si>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</si>
  <si>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</si>
  <si>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</si>
  <si>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</si>
  <si>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</si>
  <si>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</si>
  <si>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</si>
  <si>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</si>
  <si>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</si>
  <si>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</si>
  <si>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</si>
  <si>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</si>
  <si>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</si>
  <si>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</si>
  <si>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</si>
  <si>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</si>
  <si>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</si>
  <si>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</si>
  <si>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</si>
  <si>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</si>
  <si>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</si>
  <si>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</si>
  <si>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</si>
  <si>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</si>
  <si>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</si>
  <si>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</si>
  <si>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</si>
  <si>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</si>
  <si>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</si>
  <si>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</si>
  <si>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</si>
  <si>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</si>
  <si>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</si>
  <si>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</si>
  <si>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</si>
  <si>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</si>
  <si>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</si>
  <si>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</si>
  <si>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</si>
  <si>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</si>
  <si>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</si>
  <si>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</si>
  <si>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</si>
  <si>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</si>
  <si>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</si>
  <si>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</si>
  <si>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</si>
  <si>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</si>
  <si>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</si>
  <si>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</si>
  <si>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</si>
  <si>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</si>
  <si>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</si>
  <si>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</si>
  <si>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</si>
  <si>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</si>
  <si>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</si>
  <si>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</si>
  <si>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</si>
  <si>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</si>
  <si>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</si>
  <si>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</si>
  <si>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</si>
  <si>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</si>
  <si>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</si>
  <si>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</si>
  <si>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</si>
  <si>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</si>
  <si>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</si>
  <si>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</si>
  <si>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</si>
  <si>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</si>
  <si>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</si>
  <si>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</si>
  <si>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</si>
  <si>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</si>
  <si>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</si>
  <si>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</si>
  <si>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</si>
  <si>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</si>
  <si>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</si>
  <si>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</si>
  <si>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</si>
  <si>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</si>
  <si>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</si>
  <si>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</si>
  <si>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</si>
  <si>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</si>
  <si>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</si>
  <si>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</si>
  <si>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</si>
  <si>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</si>
  <si>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</si>
  <si>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</si>
  <si>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</si>
  <si>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</si>
  <si>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</si>
  <si>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</si>
  <si>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</si>
  <si>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</si>
  <si>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</si>
  <si>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</si>
  <si>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</si>
  <si>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</si>
  <si>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</si>
  <si>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</si>
  <si>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</si>
  <si>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</si>
  <si>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</si>
  <si>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</si>
  <si>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</si>
  <si>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</si>
  <si>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</si>
  <si>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</si>
  <si>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</si>
  <si>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</si>
  <si>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</si>
  <si>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</si>
  <si>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</si>
  <si>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</si>
  <si>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</si>
  <si>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</si>
  <si>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</si>
  <si>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</si>
  <si>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</si>
  <si>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</si>
  <si>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</si>
  <si>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</si>
  <si>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</si>
  <si>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</si>
  <si>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</si>
  <si>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</si>
  <si>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</si>
  <si>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</si>
  <si>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</si>
  <si>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</si>
  <si>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</si>
  <si>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</si>
  <si>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</si>
  <si>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</si>
  <si>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</si>
  <si>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</si>
  <si>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</si>
  <si>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</si>
  <si>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</si>
  <si>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</si>
  <si>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</si>
  <si>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</si>
  <si>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</si>
  <si>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</si>
  <si>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</si>
  <si>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</si>
  <si>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</si>
  <si>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</si>
  <si>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</si>
  <si>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</si>
  <si>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</si>
  <si>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</si>
  <si>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</si>
  <si>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</si>
  <si>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</si>
  <si>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</si>
  <si>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</si>
  <si>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</si>
  <si>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</si>
  <si>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</si>
  <si>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</si>
  <si>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</si>
  <si>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</si>
  <si>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</si>
  <si>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</si>
  <si>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</si>
  <si>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</si>
  <si>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</si>
  <si>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</si>
  <si>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</si>
  <si>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</si>
  <si>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</si>
  <si>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</si>
  <si>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</si>
  <si>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</si>
  <si>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</si>
  <si>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</si>
  <si>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</si>
  <si>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</si>
  <si>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</si>
  <si>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</si>
  <si>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</si>
  <si>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</si>
  <si>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</si>
  <si>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</si>
  <si>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</si>
  <si>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</si>
  <si>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</si>
  <si>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</si>
  <si>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</si>
  <si>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</si>
  <si>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</si>
  <si>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</si>
  <si>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</si>
  <si>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</si>
  <si>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</si>
  <si>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</si>
  <si>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</si>
  <si>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</si>
  <si>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</si>
  <si>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</si>
  <si>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</si>
  <si>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</si>
  <si>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</si>
  <si>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</si>
  <si>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</si>
  <si>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</si>
  <si>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</si>
  <si>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</si>
  <si>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</si>
  <si>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</si>
  <si>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</si>
  <si>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</si>
  <si>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</si>
  <si>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</si>
  <si>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</si>
  <si>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</si>
  <si>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</si>
  <si>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</si>
  <si>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</si>
  <si>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</si>
  <si>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</si>
  <si>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</si>
  <si>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</si>
  <si>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</si>
  <si>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</si>
  <si>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</si>
  <si>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</si>
  <si>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</si>
  <si>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</si>
  <si>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</si>
  <si>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</si>
  <si>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</si>
  <si>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</si>
  <si>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</si>
  <si>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</si>
  <si>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</si>
  <si>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</si>
  <si>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</si>
  <si>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</si>
  <si>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</si>
  <si>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</si>
  <si>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</si>
  <si>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</si>
  <si>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</si>
  <si>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</si>
  <si>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</si>
  <si>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</si>
  <si>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</si>
  <si>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</si>
  <si>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</si>
  <si>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</si>
  <si>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</si>
  <si>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</si>
  <si>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</si>
  <si>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</si>
  <si>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</si>
  <si>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</si>
  <si>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</si>
  <si>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</si>
  <si>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</si>
  <si>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</si>
  <si>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</si>
  <si>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</si>
  <si>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</si>
  <si>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</si>
  <si>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</si>
  <si>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</si>
  <si>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</si>
  <si>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</si>
  <si>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</si>
  <si>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</si>
  <si>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</si>
  <si>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</si>
  <si>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</si>
  <si>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</si>
  <si>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</si>
  <si>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</si>
  <si>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</si>
  <si>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</si>
  <si>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</si>
  <si>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</si>
  <si>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</si>
  <si>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</si>
  <si>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</si>
  <si>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</si>
  <si>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</si>
  <si>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</si>
  <si>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</si>
  <si>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</si>
  <si>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</si>
  <si>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</si>
  <si>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</si>
  <si>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</si>
  <si>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</si>
  <si>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</si>
  <si>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</si>
  <si>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</si>
  <si>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</si>
  <si>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</si>
  <si>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</si>
  <si>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</si>
  <si>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</si>
  <si>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</si>
  <si>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</si>
  <si>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</si>
  <si>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</si>
  <si>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</si>
  <si>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</si>
  <si>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</si>
  <si>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</si>
  <si>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</si>
  <si>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</si>
  <si>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</si>
  <si>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</si>
  <si>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</si>
  <si>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</si>
  <si>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</si>
  <si>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</si>
  <si>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</si>
  <si>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</si>
  <si>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</si>
  <si>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</si>
  <si>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</si>
  <si>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</si>
  <si>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</si>
  <si>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</si>
  <si>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</si>
  <si>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</si>
  <si>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</si>
  <si>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</si>
  <si>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</si>
  <si>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</si>
  <si>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</si>
  <si>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</si>
  <si>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</si>
  <si>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</si>
  <si>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</si>
  <si>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</si>
  <si>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</si>
  <si>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</si>
  <si>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</si>
  <si>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</si>
  <si>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</si>
  <si>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</si>
  <si>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</si>
  <si>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</si>
  <si>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</si>
  <si>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</si>
  <si>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</si>
  <si>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</si>
  <si>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</si>
  <si>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</si>
  <si>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</si>
  <si>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</si>
  <si>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</si>
  <si>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</si>
  <si>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</si>
  <si>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</si>
  <si>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</si>
  <si>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</si>
  <si>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</si>
  <si>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</si>
  <si>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</si>
  <si>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</si>
  <si>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</si>
  <si>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</si>
  <si>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</si>
  <si>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</si>
  <si>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</si>
  <si>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</si>
  <si>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</si>
  <si>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</si>
  <si>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</si>
  <si>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</si>
  <si>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</si>
  <si>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</si>
  <si>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</si>
  <si>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</si>
  <si>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</si>
  <si>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</si>
  <si>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</si>
  <si>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</si>
  <si>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</si>
  <si>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</si>
  <si>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</si>
  <si>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</si>
  <si>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</si>
  <si>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</si>
  <si>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</si>
  <si>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</si>
  <si>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</si>
  <si>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</si>
  <si>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</si>
  <si>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</si>
  <si>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</si>
  <si>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</si>
  <si>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</si>
  <si>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</si>
  <si>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</si>
  <si>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</si>
  <si>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</si>
  <si>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</si>
  <si>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</si>
  <si>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</si>
  <si>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</si>
  <si>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</si>
  <si>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</si>
  <si>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</si>
  <si>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</si>
  <si>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</si>
  <si>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</si>
  <si>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</si>
  <si>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</si>
  <si>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</si>
  <si>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</si>
  <si>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</si>
  <si>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</si>
  <si>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</si>
  <si>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</si>
  <si>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</si>
  <si>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</si>
  <si>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</si>
  <si>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</si>
  <si>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</si>
  <si>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</si>
  <si>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</si>
  <si>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</si>
  <si>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</si>
  <si>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</si>
  <si>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</si>
  <si>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</si>
  <si>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</si>
  <si>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</si>
  <si>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</si>
  <si>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</si>
  <si>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</si>
  <si>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</si>
  <si>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</si>
  <si>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</si>
  <si>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</si>
  <si>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</si>
  <si>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</si>
  <si>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</si>
  <si>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</si>
  <si>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</si>
  <si>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</si>
  <si>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</si>
  <si>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</si>
  <si>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</si>
  <si>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</si>
  <si>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</si>
  <si>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</si>
  <si>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</si>
  <si>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</si>
  <si>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</si>
  <si>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</si>
  <si>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</si>
  <si>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</si>
  <si>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</si>
  <si>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</si>
  <si>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</si>
  <si>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</si>
  <si>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</si>
  <si>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</si>
  <si>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</si>
  <si>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</si>
  <si>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</si>
  <si>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</si>
  <si>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</si>
  <si>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</si>
  <si>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</si>
  <si>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</si>
  <si>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</si>
  <si>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</si>
  <si>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</si>
  <si>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</si>
  <si>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</si>
  <si>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</si>
  <si>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</si>
  <si>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</si>
  <si>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</si>
  <si>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</si>
  <si>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</si>
  <si>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</si>
  <si>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</si>
  <si>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</si>
  <si>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</si>
  <si>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</si>
  <si>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</si>
  <si>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</si>
  <si>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</si>
  <si>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</si>
  <si>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</si>
  <si>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</si>
  <si>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</si>
  <si>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</si>
  <si>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</si>
  <si>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</si>
  <si>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</si>
  <si>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</si>
  <si>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</si>
  <si>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</si>
  <si>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</si>
  <si>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</si>
  <si>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</si>
  <si>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</si>
  <si>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</si>
  <si>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</si>
  <si>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</si>
  <si>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</si>
  <si>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</si>
  <si>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</si>
  <si>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</si>
  <si>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</si>
  <si>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</si>
  <si>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</si>
  <si>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</si>
  <si>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</si>
  <si>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</si>
  <si>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</si>
  <si>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</si>
  <si>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</si>
  <si>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</si>
  <si>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</si>
  <si>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</si>
  <si>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</si>
  <si>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</si>
  <si>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</si>
  <si>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</si>
  <si>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</si>
  <si>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</si>
  <si>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</si>
  <si>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</si>
  <si>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</si>
  <si>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</si>
  <si>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</si>
  <si>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</si>
  <si>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</si>
  <si>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</si>
  <si>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</si>
  <si>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</si>
  <si>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</si>
  <si>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</si>
  <si>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</si>
  <si>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</si>
  <si>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</si>
  <si>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</si>
  <si>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</si>
  <si>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</si>
  <si>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</si>
  <si>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</si>
  <si>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</si>
  <si>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</si>
  <si>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</si>
  <si>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</si>
  <si>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</si>
  <si>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</si>
  <si>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</si>
  <si>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</si>
  <si>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</si>
  <si>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</si>
  <si>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</si>
  <si>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</si>
  <si>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</si>
  <si>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</si>
  <si>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</si>
  <si>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</si>
  <si>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</si>
  <si>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</si>
  <si>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</si>
  <si>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</si>
  <si>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</si>
  <si>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</si>
  <si>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</si>
  <si>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</si>
  <si>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</si>
  <si>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</si>
  <si>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</si>
  <si>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</si>
  <si>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</si>
  <si>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</si>
  <si>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</si>
  <si>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</si>
  <si>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</si>
  <si>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</si>
  <si>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</si>
  <si>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</si>
  <si>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</si>
  <si>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</si>
  <si>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</si>
  <si>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</si>
  <si>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</si>
  <si>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</si>
  <si>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</si>
  <si>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</si>
  <si>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</si>
  <si>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</si>
  <si>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</si>
  <si>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</si>
  <si>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</si>
  <si>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</si>
  <si>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</si>
  <si>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</si>
  <si>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</si>
  <si>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</si>
  <si>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</si>
  <si>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</si>
  <si>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</si>
  <si>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</si>
  <si>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</si>
  <si>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</si>
  <si>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</si>
  <si>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</si>
  <si>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</si>
  <si>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</si>
  <si>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</si>
  <si>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</si>
  <si>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</si>
  <si>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</si>
  <si>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</si>
  <si>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</si>
  <si>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</si>
  <si>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</si>
  <si>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</si>
  <si>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</si>
  <si>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</si>
  <si>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</si>
  <si>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</si>
  <si>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</si>
  <si>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</si>
  <si>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</si>
  <si>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</si>
  <si>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</si>
  <si>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</si>
  <si>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</si>
  <si>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</si>
  <si>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</si>
  <si>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</si>
  <si>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</si>
  <si>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44029</t>
  </si>
  <si>
    <t>KNESSELARE</t>
  </si>
  <si>
    <t>Paarden&amp;pony's 200 - 600 kg</t>
  </si>
  <si>
    <t>Paarden&amp;pony's &lt; 200 kg</t>
  </si>
  <si>
    <t>op basis van VEA (maart 2018) en Inventaris Hernieuwbare Energiebronnen (juni 2018)</t>
  </si>
  <si>
    <t>VEA (juni 2018)</t>
  </si>
  <si>
    <t>Jan Clement</t>
  </si>
  <si>
    <t>Langedonkstraat 17 , 9910 Knesselare</t>
  </si>
  <si>
    <t>WKK-0463 Jan Clement</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</si>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</sst>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44029</v>
      </c>
      <c r="B6" s="397"/>
      <c r="C6" s="398"/>
    </row>
    <row r="7" spans="1:7" s="395" customFormat="1" ht="15.75" customHeight="1">
      <c r="A7" s="399" t="str">
        <f>txtMunicipality</f>
        <v>KNESSELARE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0.21085404685666453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0.21085404685666453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44029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3447</v>
      </c>
      <c r="C9" s="338">
        <v>3610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2392</v>
      </c>
    </row>
    <row r="15" spans="1:6">
      <c r="A15" s="1286" t="s">
        <v>184</v>
      </c>
      <c r="B15" s="335">
        <v>605</v>
      </c>
    </row>
    <row r="16" spans="1:6">
      <c r="A16" s="1286" t="s">
        <v>6</v>
      </c>
      <c r="B16" s="335">
        <v>1121</v>
      </c>
    </row>
    <row r="17" spans="1:6">
      <c r="A17" s="1286" t="s">
        <v>7</v>
      </c>
      <c r="B17" s="335">
        <v>527</v>
      </c>
    </row>
    <row r="18" spans="1:6">
      <c r="A18" s="1286" t="s">
        <v>8</v>
      </c>
      <c r="B18" s="335">
        <v>1234</v>
      </c>
    </row>
    <row r="19" spans="1:6">
      <c r="A19" s="1286" t="s">
        <v>9</v>
      </c>
      <c r="B19" s="335">
        <v>1369</v>
      </c>
    </row>
    <row r="20" spans="1:6">
      <c r="A20" s="1286" t="s">
        <v>10</v>
      </c>
      <c r="B20" s="335">
        <v>878</v>
      </c>
    </row>
    <row r="21" spans="1:6">
      <c r="A21" s="1286" t="s">
        <v>11</v>
      </c>
      <c r="B21" s="335">
        <v>11834</v>
      </c>
    </row>
    <row r="22" spans="1:6">
      <c r="A22" s="1286" t="s">
        <v>12</v>
      </c>
      <c r="B22" s="335">
        <v>27004</v>
      </c>
    </row>
    <row r="23" spans="1:6">
      <c r="A23" s="1286" t="s">
        <v>13</v>
      </c>
      <c r="B23" s="335">
        <v>738</v>
      </c>
    </row>
    <row r="24" spans="1:6">
      <c r="A24" s="1286" t="s">
        <v>14</v>
      </c>
      <c r="B24" s="335">
        <v>18</v>
      </c>
    </row>
    <row r="25" spans="1:6">
      <c r="A25" s="1286" t="s">
        <v>15</v>
      </c>
      <c r="B25" s="335">
        <v>2545</v>
      </c>
    </row>
    <row r="26" spans="1:6">
      <c r="A26" s="1286" t="s">
        <v>16</v>
      </c>
      <c r="B26" s="335">
        <v>189</v>
      </c>
    </row>
    <row r="27" spans="1:6">
      <c r="A27" s="1286" t="s">
        <v>17</v>
      </c>
      <c r="B27" s="335">
        <v>130</v>
      </c>
    </row>
    <row r="28" spans="1:6" s="341" customFormat="1">
      <c r="A28" s="1287" t="s">
        <v>18</v>
      </c>
      <c r="B28" s="1287">
        <v>56789</v>
      </c>
    </row>
    <row r="29" spans="1:6">
      <c r="A29" s="1287" t="s">
        <v>944</v>
      </c>
      <c r="B29" s="1287">
        <v>162</v>
      </c>
      <c r="C29" s="341"/>
      <c r="D29" s="341"/>
      <c r="E29" s="341"/>
      <c r="F29" s="341"/>
    </row>
    <row r="30" spans="1:6">
      <c r="A30" s="1282" t="s">
        <v>945</v>
      </c>
      <c r="B30" s="1282">
        <v>69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9103.8788693230999</v>
      </c>
    </row>
    <row r="39" spans="1:6">
      <c r="A39" s="1286" t="s">
        <v>30</v>
      </c>
      <c r="B39" s="1286" t="s">
        <v>31</v>
      </c>
      <c r="C39" s="335">
        <v>1258</v>
      </c>
      <c r="D39" s="335">
        <v>21946208.293892998</v>
      </c>
      <c r="E39" s="335">
        <v>3243</v>
      </c>
      <c r="F39" s="335">
        <v>17072890.797097199</v>
      </c>
    </row>
    <row r="40" spans="1:6">
      <c r="A40" s="1286" t="s">
        <v>30</v>
      </c>
      <c r="B40" s="1286" t="s">
        <v>29</v>
      </c>
      <c r="C40" s="335">
        <v>0</v>
      </c>
      <c r="D40" s="335">
        <v>0</v>
      </c>
      <c r="E40" s="335">
        <v>0</v>
      </c>
      <c r="F40" s="335">
        <v>0</v>
      </c>
    </row>
    <row r="41" spans="1:6">
      <c r="A41" s="1286" t="s">
        <v>32</v>
      </c>
      <c r="B41" s="1286" t="s">
        <v>33</v>
      </c>
      <c r="C41" s="335">
        <v>24</v>
      </c>
      <c r="D41" s="335">
        <v>735635.38961433095</v>
      </c>
      <c r="E41" s="335">
        <v>98</v>
      </c>
      <c r="F41" s="335">
        <v>1190548.22512367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69847.683214258199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5</v>
      </c>
      <c r="F47" s="335">
        <v>3450981.9577274299</v>
      </c>
    </row>
    <row r="48" spans="1:6">
      <c r="A48" s="1286" t="s">
        <v>32</v>
      </c>
      <c r="B48" s="1286" t="s">
        <v>29</v>
      </c>
      <c r="C48" s="335">
        <v>12</v>
      </c>
      <c r="D48" s="335">
        <v>287319.67842456402</v>
      </c>
      <c r="E48" s="335">
        <v>30</v>
      </c>
      <c r="F48" s="335">
        <v>444554.33952414402</v>
      </c>
    </row>
    <row r="49" spans="1:6">
      <c r="A49" s="1286" t="s">
        <v>32</v>
      </c>
      <c r="B49" s="1286" t="s">
        <v>40</v>
      </c>
      <c r="C49" s="335">
        <v>0</v>
      </c>
      <c r="D49" s="335">
        <v>0</v>
      </c>
      <c r="E49" s="335">
        <v>0</v>
      </c>
      <c r="F49" s="335">
        <v>0</v>
      </c>
    </row>
    <row r="50" spans="1:6">
      <c r="A50" s="1286" t="s">
        <v>32</v>
      </c>
      <c r="B50" s="1286" t="s">
        <v>41</v>
      </c>
      <c r="C50" s="335">
        <v>3</v>
      </c>
      <c r="D50" s="335">
        <v>465360.16762716998</v>
      </c>
      <c r="E50" s="335">
        <v>8</v>
      </c>
      <c r="F50" s="335">
        <v>1830031.50297551</v>
      </c>
    </row>
    <row r="51" spans="1:6">
      <c r="A51" s="1286" t="s">
        <v>42</v>
      </c>
      <c r="B51" s="1286" t="s">
        <v>43</v>
      </c>
      <c r="C51" s="335">
        <v>0</v>
      </c>
      <c r="D51" s="335">
        <v>0</v>
      </c>
      <c r="E51" s="335">
        <v>116</v>
      </c>
      <c r="F51" s="335">
        <v>2364059.70328042</v>
      </c>
    </row>
    <row r="52" spans="1:6">
      <c r="A52" s="1286" t="s">
        <v>42</v>
      </c>
      <c r="B52" s="1286" t="s">
        <v>29</v>
      </c>
      <c r="C52" s="335">
        <v>3</v>
      </c>
      <c r="D52" s="335">
        <v>51160.014901588998</v>
      </c>
      <c r="E52" s="335">
        <v>4</v>
      </c>
      <c r="F52" s="335">
        <v>27437.459425106801</v>
      </c>
    </row>
    <row r="53" spans="1:6">
      <c r="A53" s="1286" t="s">
        <v>44</v>
      </c>
      <c r="B53" s="1286" t="s">
        <v>45</v>
      </c>
      <c r="C53" s="335">
        <v>38</v>
      </c>
      <c r="D53" s="335">
        <v>763682.74796332896</v>
      </c>
      <c r="E53" s="335">
        <v>109</v>
      </c>
      <c r="F53" s="335">
        <v>832245.950626089</v>
      </c>
    </row>
    <row r="54" spans="1:6">
      <c r="A54" s="1286" t="s">
        <v>46</v>
      </c>
      <c r="B54" s="1286" t="s">
        <v>47</v>
      </c>
      <c r="C54" s="335">
        <v>0</v>
      </c>
      <c r="D54" s="335">
        <v>0</v>
      </c>
      <c r="E54" s="335">
        <v>2</v>
      </c>
      <c r="F54" s="335">
        <v>610764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v>
      </c>
      <c r="D57" s="335">
        <v>206175.17455741001</v>
      </c>
      <c r="E57" s="335">
        <v>57</v>
      </c>
      <c r="F57" s="335">
        <v>746749.51619970996</v>
      </c>
    </row>
    <row r="58" spans="1:6">
      <c r="A58" s="1286" t="s">
        <v>49</v>
      </c>
      <c r="B58" s="1286" t="s">
        <v>51</v>
      </c>
      <c r="C58" s="335">
        <v>0</v>
      </c>
      <c r="D58" s="335">
        <v>0</v>
      </c>
      <c r="E58" s="335">
        <v>8</v>
      </c>
      <c r="F58" s="335">
        <v>76890.543344689504</v>
      </c>
    </row>
    <row r="59" spans="1:6">
      <c r="A59" s="1286" t="s">
        <v>49</v>
      </c>
      <c r="B59" s="1286" t="s">
        <v>52</v>
      </c>
      <c r="C59" s="335">
        <v>12</v>
      </c>
      <c r="D59" s="335">
        <v>724620.05186100001</v>
      </c>
      <c r="E59" s="335">
        <v>86</v>
      </c>
      <c r="F59" s="335">
        <v>2430980.4381735399</v>
      </c>
    </row>
    <row r="60" spans="1:6">
      <c r="A60" s="1286" t="s">
        <v>49</v>
      </c>
      <c r="B60" s="1286" t="s">
        <v>53</v>
      </c>
      <c r="C60" s="335">
        <v>22</v>
      </c>
      <c r="D60" s="335">
        <v>1439622.8060964199</v>
      </c>
      <c r="E60" s="335">
        <v>33</v>
      </c>
      <c r="F60" s="335">
        <v>710295.52050673403</v>
      </c>
    </row>
    <row r="61" spans="1:6">
      <c r="A61" s="1286" t="s">
        <v>49</v>
      </c>
      <c r="B61" s="1286" t="s">
        <v>54</v>
      </c>
      <c r="C61" s="335">
        <v>31</v>
      </c>
      <c r="D61" s="335">
        <v>1500796.7768120801</v>
      </c>
      <c r="E61" s="335">
        <v>84</v>
      </c>
      <c r="F61" s="335">
        <v>895190.65461785498</v>
      </c>
    </row>
    <row r="62" spans="1:6">
      <c r="A62" s="1286" t="s">
        <v>49</v>
      </c>
      <c r="B62" s="1286" t="s">
        <v>55</v>
      </c>
      <c r="C62" s="335">
        <v>0</v>
      </c>
      <c r="D62" s="335">
        <v>0</v>
      </c>
      <c r="E62" s="335">
        <v>3</v>
      </c>
      <c r="F62" s="335">
        <v>19357.1220328378</v>
      </c>
    </row>
    <row r="63" spans="1:6">
      <c r="A63" s="1286" t="s">
        <v>49</v>
      </c>
      <c r="B63" s="1286" t="s">
        <v>29</v>
      </c>
      <c r="C63" s="335">
        <v>46</v>
      </c>
      <c r="D63" s="335">
        <v>2142545.0457406598</v>
      </c>
      <c r="E63" s="335">
        <v>71</v>
      </c>
      <c r="F63" s="335">
        <v>1085733.19883626</v>
      </c>
    </row>
    <row r="64" spans="1:6">
      <c r="A64" s="1286" t="s">
        <v>56</v>
      </c>
      <c r="B64" s="1286" t="s">
        <v>57</v>
      </c>
      <c r="C64" s="335">
        <v>0</v>
      </c>
      <c r="D64" s="335">
        <v>0</v>
      </c>
      <c r="E64" s="335">
        <v>0</v>
      </c>
      <c r="F64" s="335">
        <v>0</v>
      </c>
    </row>
    <row r="65" spans="1:6">
      <c r="A65" s="1286" t="s">
        <v>56</v>
      </c>
      <c r="B65" s="1286" t="s">
        <v>29</v>
      </c>
      <c r="C65" s="335">
        <v>1</v>
      </c>
      <c r="D65" s="335">
        <v>19321.648973910898</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146354.898118521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57563394</v>
      </c>
      <c r="E73" s="335">
        <v>61339208.638665646</v>
      </c>
    </row>
    <row r="74" spans="1:6">
      <c r="A74" s="1286" t="s">
        <v>64</v>
      </c>
      <c r="B74" s="1286" t="s">
        <v>772</v>
      </c>
      <c r="C74" s="1297" t="s">
        <v>766</v>
      </c>
      <c r="D74" s="335">
        <v>5305449.0374849504</v>
      </c>
      <c r="E74" s="335">
        <v>5647948.9240294313</v>
      </c>
    </row>
    <row r="75" spans="1:6">
      <c r="A75" s="1286" t="s">
        <v>65</v>
      </c>
      <c r="B75" s="1286" t="s">
        <v>771</v>
      </c>
      <c r="C75" s="1297" t="s">
        <v>767</v>
      </c>
      <c r="D75" s="335">
        <v>4873828</v>
      </c>
      <c r="E75" s="335">
        <v>5186372.1883184006</v>
      </c>
    </row>
    <row r="76" spans="1:6">
      <c r="A76" s="1286" t="s">
        <v>65</v>
      </c>
      <c r="B76" s="1286" t="s">
        <v>772</v>
      </c>
      <c r="C76" s="1297" t="s">
        <v>768</v>
      </c>
      <c r="D76" s="335">
        <v>49792.037484950604</v>
      </c>
      <c r="E76" s="335">
        <v>60738.466434008631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154129.92503009879</v>
      </c>
      <c r="C83" s="335">
        <v>148037.81772619512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1336.331691044491</v>
      </c>
    </row>
    <row r="92" spans="1:6">
      <c r="A92" s="1282" t="s">
        <v>69</v>
      </c>
      <c r="B92" s="338">
        <v>275.53287126380019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574</v>
      </c>
    </row>
    <row r="98" spans="1:6">
      <c r="A98" s="1286" t="s">
        <v>72</v>
      </c>
      <c r="B98" s="335">
        <v>0</v>
      </c>
    </row>
    <row r="99" spans="1:6">
      <c r="A99" s="1286" t="s">
        <v>73</v>
      </c>
      <c r="B99" s="335">
        <v>84</v>
      </c>
    </row>
    <row r="100" spans="1:6">
      <c r="A100" s="1286" t="s">
        <v>74</v>
      </c>
      <c r="B100" s="335">
        <v>427</v>
      </c>
    </row>
    <row r="101" spans="1:6">
      <c r="A101" s="1286" t="s">
        <v>75</v>
      </c>
      <c r="B101" s="335">
        <v>129</v>
      </c>
    </row>
    <row r="102" spans="1:6">
      <c r="A102" s="1286" t="s">
        <v>76</v>
      </c>
      <c r="B102" s="335">
        <v>100</v>
      </c>
    </row>
    <row r="103" spans="1:6">
      <c r="A103" s="1286" t="s">
        <v>77</v>
      </c>
      <c r="B103" s="335">
        <v>166</v>
      </c>
    </row>
    <row r="104" spans="1:6">
      <c r="A104" s="1286" t="s">
        <v>78</v>
      </c>
      <c r="B104" s="335">
        <v>1598</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34</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35196.203984690786</v>
      </c>
      <c r="C3" s="44" t="s">
        <v>170</v>
      </c>
      <c r="D3" s="44"/>
      <c r="E3" s="157"/>
      <c r="F3" s="44"/>
      <c r="G3" s="44"/>
      <c r="H3" s="44"/>
      <c r="I3" s="44"/>
      <c r="J3" s="44"/>
      <c r="K3" s="97"/>
    </row>
    <row r="4" spans="1:11">
      <c r="A4" s="365" t="s">
        <v>171</v>
      </c>
      <c r="B4" s="50">
        <f>IF(ISERROR('SEAP template'!B78+'SEAP template'!C78),0,'SEAP template'!B78+'SEAP template'!C78)</f>
        <v>1615.832744126473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0.21085404685666453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5.6688311688311686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610.76400000000001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610.76400000000001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0.21085404685666453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128.78206107436387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17072.8907970972</v>
      </c>
      <c r="C5" s="18">
        <f>IF(ISERROR('Eigen informatie GS &amp; warmtenet'!B57),0,'Eigen informatie GS &amp; warmtenet'!B57)</f>
        <v>0</v>
      </c>
      <c r="D5" s="31">
        <f>(SUM(HH_hh_gas_kWh,HH_rest_gas_kWh)/1000)*0.902</f>
        <v>19795.479881091487</v>
      </c>
      <c r="E5" s="18">
        <f>B46*B57</f>
        <v>3181.5095821246455</v>
      </c>
      <c r="F5" s="18">
        <f>B51*B62</f>
        <v>19392.46232613947</v>
      </c>
      <c r="G5" s="19"/>
      <c r="H5" s="18"/>
      <c r="I5" s="18"/>
      <c r="J5" s="18">
        <f>B50*B61+C50*C61</f>
        <v>3079.965036979384</v>
      </c>
      <c r="K5" s="18"/>
      <c r="L5" s="18"/>
      <c r="M5" s="18"/>
      <c r="N5" s="18">
        <f>B48*B59+C48*C59</f>
        <v>15867.134179126177</v>
      </c>
      <c r="O5" s="18">
        <f>B69*B70*B71</f>
        <v>56.280000000000008</v>
      </c>
      <c r="P5" s="18">
        <f>B77*B78*B79/1000-B77*B78*B79/1000/B80</f>
        <v>171.6</v>
      </c>
    </row>
    <row r="6" spans="1:16">
      <c r="A6" s="17" t="s">
        <v>639</v>
      </c>
      <c r="B6" s="780">
        <f>kWh_PV_kleiner_dan_10kW</f>
        <v>1336.331691044491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18409.222488141691</v>
      </c>
      <c r="C8" s="22">
        <f>C5</f>
        <v>0</v>
      </c>
      <c r="D8" s="22">
        <f>D5</f>
        <v>19795.479881091487</v>
      </c>
      <c r="E8" s="22">
        <f>E5</f>
        <v>3181.5095821246455</v>
      </c>
      <c r="F8" s="22">
        <f>F5</f>
        <v>19392.46232613947</v>
      </c>
      <c r="G8" s="22"/>
      <c r="H8" s="22"/>
      <c r="I8" s="22"/>
      <c r="J8" s="22">
        <f>J5</f>
        <v>3079.965036979384</v>
      </c>
      <c r="K8" s="22"/>
      <c r="L8" s="22">
        <f>L5</f>
        <v>0</v>
      </c>
      <c r="M8" s="22">
        <f>M5</f>
        <v>0</v>
      </c>
      <c r="N8" s="22">
        <f>N5</f>
        <v>15867.134179126177</v>
      </c>
      <c r="O8" s="22">
        <f>O5</f>
        <v>56.280000000000008</v>
      </c>
      <c r="P8" s="22">
        <f>P5</f>
        <v>171.6</v>
      </c>
    </row>
    <row r="9" spans="1:16">
      <c r="B9" s="20"/>
      <c r="C9" s="20"/>
      <c r="D9" s="262"/>
      <c r="E9" s="20"/>
      <c r="F9" s="20"/>
      <c r="G9" s="20"/>
      <c r="H9" s="20"/>
      <c r="I9" s="20"/>
      <c r="J9" s="20"/>
      <c r="K9" s="20"/>
      <c r="L9" s="20"/>
      <c r="M9" s="20"/>
      <c r="N9" s="20"/>
      <c r="O9" s="20"/>
      <c r="P9" s="20"/>
    </row>
    <row r="10" spans="1:16">
      <c r="A10" s="25" t="s">
        <v>214</v>
      </c>
      <c r="B10" s="26">
        <f ca="1">'EF ele_warmte'!B12</f>
        <v>0.21085404685666453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3881.6590611093907</v>
      </c>
      <c r="C12" s="24">
        <f ca="1">C10*C8</f>
        <v>0</v>
      </c>
      <c r="D12" s="24">
        <f>D8*D10</f>
        <v>3998.6869359804805</v>
      </c>
      <c r="E12" s="24">
        <f>E10*E8</f>
        <v>722.20267514229454</v>
      </c>
      <c r="F12" s="24">
        <f>F10*F8</f>
        <v>5177.7874410792392</v>
      </c>
      <c r="G12" s="24"/>
      <c r="H12" s="24"/>
      <c r="I12" s="24"/>
      <c r="J12" s="24">
        <f>J10*J8</f>
        <v>1090.3076230907018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574</v>
      </c>
      <c r="C18" s="169" t="s">
        <v>111</v>
      </c>
      <c r="D18" s="231"/>
      <c r="E18" s="16"/>
    </row>
    <row r="19" spans="1:7">
      <c r="A19" s="174" t="s">
        <v>72</v>
      </c>
      <c r="B19" s="38">
        <f>aantalw2001_ander</f>
        <v>0</v>
      </c>
      <c r="C19" s="169" t="s">
        <v>111</v>
      </c>
      <c r="D19" s="232"/>
      <c r="E19" s="16"/>
    </row>
    <row r="20" spans="1:7">
      <c r="A20" s="174" t="s">
        <v>73</v>
      </c>
      <c r="B20" s="38">
        <f>aantalw2001_propaan</f>
        <v>84</v>
      </c>
      <c r="C20" s="170">
        <f>IF(ISERROR(B20/SUM($B$20,$B$21,$B$22)*100),0,B20/SUM($B$20,$B$21,$B$22)*100)</f>
        <v>13.125</v>
      </c>
      <c r="D20" s="232"/>
      <c r="E20" s="16"/>
    </row>
    <row r="21" spans="1:7">
      <c r="A21" s="174" t="s">
        <v>74</v>
      </c>
      <c r="B21" s="38">
        <f>aantalw2001_elektriciteit</f>
        <v>427</v>
      </c>
      <c r="C21" s="170">
        <f>IF(ISERROR(B21/SUM($B$20,$B$21,$B$22)*100),0,B21/SUM($B$20,$B$21,$B$22)*100)</f>
        <v>66.71875</v>
      </c>
      <c r="D21" s="232"/>
      <c r="E21" s="16"/>
    </row>
    <row r="22" spans="1:7">
      <c r="A22" s="174" t="s">
        <v>75</v>
      </c>
      <c r="B22" s="38">
        <f>aantalw2001_hout</f>
        <v>129</v>
      </c>
      <c r="C22" s="170">
        <f>IF(ISERROR(B22/SUM($B$20,$B$21,$B$22)*100),0,B22/SUM($B$20,$B$21,$B$22)*100)</f>
        <v>20.15625</v>
      </c>
      <c r="D22" s="232"/>
      <c r="E22" s="16"/>
    </row>
    <row r="23" spans="1:7">
      <c r="A23" s="174" t="s">
        <v>76</v>
      </c>
      <c r="B23" s="38">
        <f>aantalw2001_niet_gespec</f>
        <v>100</v>
      </c>
      <c r="C23" s="169" t="s">
        <v>111</v>
      </c>
      <c r="D23" s="231"/>
      <c r="E23" s="16"/>
    </row>
    <row r="24" spans="1:7">
      <c r="A24" s="174" t="s">
        <v>77</v>
      </c>
      <c r="B24" s="38">
        <f>aantalw2001_steenkool</f>
        <v>166</v>
      </c>
      <c r="C24" s="169" t="s">
        <v>111</v>
      </c>
      <c r="D24" s="232"/>
      <c r="E24" s="16"/>
    </row>
    <row r="25" spans="1:7">
      <c r="A25" s="174" t="s">
        <v>78</v>
      </c>
      <c r="B25" s="38">
        <f>aantalw2001_stookolie</f>
        <v>1598</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3447</v>
      </c>
      <c r="C28" s="37"/>
      <c r="D28" s="231"/>
    </row>
    <row r="29" spans="1:7" s="16" customFormat="1">
      <c r="A29" s="233" t="s">
        <v>666</v>
      </c>
      <c r="B29" s="38">
        <f>SUM(HH_hh_gas_aantal,HH_rest_gas_aantal)</f>
        <v>1258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1258</v>
      </c>
      <c r="C32" s="170">
        <f>IF(ISERROR(B32/SUM($B$32,$B$34,$B$35,$B$36,$B$38,$B$39)*100),0,B32/SUM($B$32,$B$34,$B$35,$B$36,$B$38,$B$39)*100)</f>
        <v>36.591041303083188</v>
      </c>
      <c r="D32" s="236"/>
      <c r="G32" s="16"/>
    </row>
    <row r="33" spans="1:7">
      <c r="A33" s="174" t="s">
        <v>72</v>
      </c>
      <c r="B33" s="35" t="s">
        <v>111</v>
      </c>
      <c r="C33" s="170"/>
      <c r="D33" s="236"/>
      <c r="G33" s="16"/>
    </row>
    <row r="34" spans="1:7">
      <c r="A34" s="174" t="s">
        <v>73</v>
      </c>
      <c r="B34" s="34">
        <f>IF((($B$28-$B$32-$B$39-$B$77-$B$38)*C20/100)&lt;0,0,($B$28-$B$32-$B$39-$B$77-$B$38)*C20/100)</f>
        <v>144.375</v>
      </c>
      <c r="C34" s="170">
        <f>IF(ISERROR(B34/SUM($B$32,$B$34,$B$35,$B$36,$B$38,$B$39)*100),0,B34/SUM($B$32,$B$34,$B$35,$B$36,$B$38,$B$39)*100)</f>
        <v>4.1993891797556717</v>
      </c>
      <c r="D34" s="236"/>
      <c r="G34" s="16"/>
    </row>
    <row r="35" spans="1:7">
      <c r="A35" s="174" t="s">
        <v>74</v>
      </c>
      <c r="B35" s="34">
        <f>IF((($B$28-$B$32-$B$39-$B$77-$B$38)*C21/100)&lt;0,0,($B$28-$B$32-$B$39-$B$77-$B$38)*C21/100)</f>
        <v>733.90625</v>
      </c>
      <c r="C35" s="170">
        <f>IF(ISERROR(B35/SUM($B$32,$B$34,$B$35,$B$36,$B$38,$B$39)*100),0,B35/SUM($B$32,$B$34,$B$35,$B$36,$B$38,$B$39)*100)</f>
        <v>21.346894997091333</v>
      </c>
      <c r="D35" s="236"/>
      <c r="G35" s="16"/>
    </row>
    <row r="36" spans="1:7">
      <c r="A36" s="174" t="s">
        <v>75</v>
      </c>
      <c r="B36" s="34">
        <f>IF((($B$28-$B$32-$B$39-$B$77-$B$38)*C22/100)&lt;0,0,($B$28-$B$32-$B$39-$B$77-$B$38)*C22/100)</f>
        <v>221.71875</v>
      </c>
      <c r="C36" s="170">
        <f>IF(ISERROR(B36/SUM($B$32,$B$34,$B$35,$B$36,$B$38,$B$39)*100),0,B36/SUM($B$32,$B$34,$B$35,$B$36,$B$38,$B$39)*100)</f>
        <v>6.4490619546247823</v>
      </c>
      <c r="D36" s="236"/>
      <c r="G36" s="16"/>
    </row>
    <row r="37" spans="1:7">
      <c r="A37" s="174" t="s">
        <v>76</v>
      </c>
      <c r="B37" s="35" t="s">
        <v>111</v>
      </c>
      <c r="C37" s="170"/>
      <c r="D37" s="176"/>
      <c r="G37" s="16"/>
    </row>
    <row r="38" spans="1:7">
      <c r="A38" s="174" t="s">
        <v>77</v>
      </c>
      <c r="B38" s="34">
        <f>IF((B24-(B29-B18)*0.1)&lt;0,0,B24-(B29-B18)*0.1)</f>
        <v>97.6</v>
      </c>
      <c r="C38" s="170">
        <f>IF(ISERROR(B38/SUM($B$32,$B$34,$B$35,$B$36,$B$38,$B$39)*100),0,B38/SUM($B$32,$B$34,$B$35,$B$36,$B$38,$B$39)*100)</f>
        <v>2.8388598022105875</v>
      </c>
      <c r="D38" s="237"/>
      <c r="G38" s="16"/>
    </row>
    <row r="39" spans="1:7">
      <c r="A39" s="174" t="s">
        <v>78</v>
      </c>
      <c r="B39" s="34">
        <f>IF((B25-(B29-B18))&lt;0,0,B25-(B29-B18)*0.9)</f>
        <v>982.4</v>
      </c>
      <c r="C39" s="170">
        <f>IF(ISERROR(B39/SUM($B$32,$B$34,$B$35,$B$36,$B$38,$B$39)*100),0,B39/SUM($B$32,$B$34,$B$35,$B$36,$B$38,$B$39)*100)</f>
        <v>28.574752763234439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1258</v>
      </c>
      <c r="C44" s="35" t="s">
        <v>111</v>
      </c>
      <c r="D44" s="177"/>
    </row>
    <row r="45" spans="1:7">
      <c r="A45" s="174" t="s">
        <v>72</v>
      </c>
      <c r="B45" s="34" t="str">
        <f t="shared" si="0"/>
        <v>-</v>
      </c>
      <c r="C45" s="35" t="s">
        <v>111</v>
      </c>
      <c r="D45" s="177"/>
    </row>
    <row r="46" spans="1:7">
      <c r="A46" s="174" t="s">
        <v>73</v>
      </c>
      <c r="B46" s="34">
        <f t="shared" si="0"/>
        <v>144.375</v>
      </c>
      <c r="C46" s="35" t="s">
        <v>111</v>
      </c>
      <c r="D46" s="177"/>
    </row>
    <row r="47" spans="1:7">
      <c r="A47" s="174" t="s">
        <v>74</v>
      </c>
      <c r="B47" s="34">
        <f t="shared" si="0"/>
        <v>733.90625</v>
      </c>
      <c r="C47" s="35" t="s">
        <v>111</v>
      </c>
      <c r="D47" s="177"/>
    </row>
    <row r="48" spans="1:7">
      <c r="A48" s="174" t="s">
        <v>75</v>
      </c>
      <c r="B48" s="34">
        <f t="shared" si="0"/>
        <v>221.71875</v>
      </c>
      <c r="C48" s="34">
        <f>B48*10</f>
        <v>2217.1875</v>
      </c>
      <c r="D48" s="237"/>
    </row>
    <row r="49" spans="1:6">
      <c r="A49" s="174" t="s">
        <v>76</v>
      </c>
      <c r="B49" s="34" t="str">
        <f t="shared" si="0"/>
        <v>-</v>
      </c>
      <c r="C49" s="35" t="s">
        <v>111</v>
      </c>
      <c r="D49" s="237"/>
    </row>
    <row r="50" spans="1:6">
      <c r="A50" s="174" t="s">
        <v>77</v>
      </c>
      <c r="B50" s="34">
        <f t="shared" si="0"/>
        <v>97.6</v>
      </c>
      <c r="C50" s="34">
        <f>B50*2</f>
        <v>195.2</v>
      </c>
      <c r="D50" s="237"/>
    </row>
    <row r="51" spans="1:6">
      <c r="A51" s="174" t="s">
        <v>78</v>
      </c>
      <c r="B51" s="34">
        <f t="shared" si="0"/>
        <v>982.4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5965.1969937116264</v>
      </c>
      <c r="C5" s="18">
        <f>IF(ISERROR('Eigen informatie GS &amp; warmtenet'!B58),0,'Eigen informatie GS &amp; warmtenet'!B58)</f>
        <v>0</v>
      </c>
      <c r="D5" s="31">
        <f>SUM(D6:D12)</f>
        <v>5424.4113892709474</v>
      </c>
      <c r="E5" s="18">
        <f>SUM(E6:E12)</f>
        <v>66.997907810865883</v>
      </c>
      <c r="F5" s="18">
        <f>SUM(F6:F12)</f>
        <v>1232.1070940558589</v>
      </c>
      <c r="G5" s="19"/>
      <c r="H5" s="18"/>
      <c r="I5" s="18"/>
      <c r="J5" s="18">
        <f>SUM(J6:J12)</f>
        <v>0</v>
      </c>
      <c r="K5" s="18"/>
      <c r="L5" s="18"/>
      <c r="M5" s="18"/>
      <c r="N5" s="18">
        <f>SUM(N6:N12)</f>
        <v>515.25768725160765</v>
      </c>
      <c r="O5" s="18">
        <f>B38*B39*B40</f>
        <v>0</v>
      </c>
      <c r="P5" s="18">
        <f>B46*B47*B48/1000-B46*B47*B48/1000/B49</f>
        <v>0</v>
      </c>
      <c r="R5" s="33"/>
    </row>
    <row r="6" spans="1:18">
      <c r="A6" s="33" t="s">
        <v>54</v>
      </c>
      <c r="B6" s="38">
        <f>B26</f>
        <v>895.19065461785499</v>
      </c>
      <c r="C6" s="34"/>
      <c r="D6" s="38">
        <f>IF(ISERROR(TER_kantoor_gas_kWh/1000),0,TER_kantoor_gas_kWh/1000)*0.902</f>
        <v>1353.7186926844961</v>
      </c>
      <c r="E6" s="34">
        <f>$C$26*'E Balans VL '!I12/100/3.6*1000000</f>
        <v>1.469189297753823</v>
      </c>
      <c r="F6" s="34">
        <f>$C$26*('E Balans VL '!L12+'E Balans VL '!N12)/100/3.6*1000000</f>
        <v>105.52191548714184</v>
      </c>
      <c r="G6" s="35"/>
      <c r="H6" s="34"/>
      <c r="I6" s="34"/>
      <c r="J6" s="34">
        <f>$C$26*('E Balans VL '!D12+'E Balans VL '!E12)/100/3.6*1000000</f>
        <v>0</v>
      </c>
      <c r="K6" s="34"/>
      <c r="L6" s="34"/>
      <c r="M6" s="34"/>
      <c r="N6" s="34">
        <f>$C$26*'E Balans VL '!Y12/100/3.6*1000000</f>
        <v>0.18086903269074595</v>
      </c>
      <c r="O6" s="34"/>
      <c r="P6" s="34"/>
      <c r="R6" s="33"/>
    </row>
    <row r="7" spans="1:18">
      <c r="A7" s="33" t="s">
        <v>53</v>
      </c>
      <c r="B7" s="38">
        <f t="shared" ref="B7:B12" si="0">B27</f>
        <v>710.29552050673408</v>
      </c>
      <c r="C7" s="34"/>
      <c r="D7" s="38">
        <f>IF(ISERROR(TER_horeca_gas_kWh/1000),0,TER_horeca_gas_kWh/1000)*0.902</f>
        <v>1298.5397710989707</v>
      </c>
      <c r="E7" s="34">
        <f>$C$27*'E Balans VL '!I9/100/3.6*1000000</f>
        <v>36.859197705925311</v>
      </c>
      <c r="F7" s="34">
        <f>$C$27*('E Balans VL '!L9+'E Balans VL '!N9)/100/3.6*1000000</f>
        <v>162.08995317262077</v>
      </c>
      <c r="G7" s="35"/>
      <c r="H7" s="34"/>
      <c r="I7" s="34"/>
      <c r="J7" s="34">
        <f>$C$27*('E Balans VL '!D9+'E Balans VL '!E9)/100/3.6*1000000</f>
        <v>0</v>
      </c>
      <c r="K7" s="34"/>
      <c r="L7" s="34"/>
      <c r="M7" s="34"/>
      <c r="N7" s="34">
        <f>$C$27*'E Balans VL '!Y9/100/3.6*1000000</f>
        <v>7.5006881458387825E-2</v>
      </c>
      <c r="O7" s="34"/>
      <c r="P7" s="34"/>
      <c r="R7" s="33"/>
    </row>
    <row r="8" spans="1:18">
      <c r="A8" s="6" t="s">
        <v>52</v>
      </c>
      <c r="B8" s="38">
        <f t="shared" si="0"/>
        <v>2430.9804381735398</v>
      </c>
      <c r="C8" s="34"/>
      <c r="D8" s="38">
        <f>IF(ISERROR(TER_handel_gas_kWh/1000),0,TER_handel_gas_kWh/1000)*0.902</f>
        <v>653.60728677862198</v>
      </c>
      <c r="E8" s="34">
        <f>$C$28*'E Balans VL '!I13/100/3.6*1000000</f>
        <v>13.09112838735623</v>
      </c>
      <c r="F8" s="34">
        <f>$C$28*('E Balans VL '!L13+'E Balans VL '!N13)/100/3.6*1000000</f>
        <v>495.74915357558331</v>
      </c>
      <c r="G8" s="35"/>
      <c r="H8" s="34"/>
      <c r="I8" s="34"/>
      <c r="J8" s="34">
        <f>$C$28*('E Balans VL '!D13+'E Balans VL '!E13)/100/3.6*1000000</f>
        <v>0</v>
      </c>
      <c r="K8" s="34"/>
      <c r="L8" s="34"/>
      <c r="M8" s="34"/>
      <c r="N8" s="34">
        <f>$C$28*'E Balans VL '!Y13/100/3.6*1000000</f>
        <v>12.087981955048196</v>
      </c>
      <c r="O8" s="34"/>
      <c r="P8" s="34"/>
      <c r="R8" s="33"/>
    </row>
    <row r="9" spans="1:18">
      <c r="A9" s="33" t="s">
        <v>51</v>
      </c>
      <c r="B9" s="38">
        <f t="shared" si="0"/>
        <v>76.890543344689505</v>
      </c>
      <c r="C9" s="34"/>
      <c r="D9" s="38">
        <f>IF(ISERROR(TER_gezond_gas_kWh/1000),0,TER_gezond_gas_kWh/1000)*0.902</f>
        <v>0</v>
      </c>
      <c r="E9" s="34">
        <f>$C$29*'E Balans VL '!I10/100/3.6*1000000</f>
        <v>7.619940285022743E-2</v>
      </c>
      <c r="F9" s="34">
        <f>$C$29*('E Balans VL '!L10+'E Balans VL '!N10)/100/3.6*1000000</f>
        <v>26.678802255721696</v>
      </c>
      <c r="G9" s="35"/>
      <c r="H9" s="34"/>
      <c r="I9" s="34"/>
      <c r="J9" s="34">
        <f>$C$29*('E Balans VL '!D10+'E Balans VL '!E10)/100/3.6*1000000</f>
        <v>0</v>
      </c>
      <c r="K9" s="34"/>
      <c r="L9" s="34"/>
      <c r="M9" s="34"/>
      <c r="N9" s="34">
        <f>$C$29*'E Balans VL '!Y10/100/3.6*1000000</f>
        <v>0.66255915100535445</v>
      </c>
      <c r="O9" s="34"/>
      <c r="P9" s="34"/>
      <c r="R9" s="33"/>
    </row>
    <row r="10" spans="1:18">
      <c r="A10" s="33" t="s">
        <v>50</v>
      </c>
      <c r="B10" s="38">
        <f t="shared" si="0"/>
        <v>746.74951619971</v>
      </c>
      <c r="C10" s="34"/>
      <c r="D10" s="38">
        <f>IF(ISERROR(TER_ander_gas_kWh/1000),0,TER_ander_gas_kWh/1000)*0.902</f>
        <v>185.97000745078384</v>
      </c>
      <c r="E10" s="34">
        <f>$C$30*'E Balans VL '!I14/100/3.6*1000000</f>
        <v>6.1091573655035596</v>
      </c>
      <c r="F10" s="34">
        <f>$C$30*('E Balans VL '!L14+'E Balans VL '!N14)/100/3.6*1000000</f>
        <v>218.31915710486979</v>
      </c>
      <c r="G10" s="35"/>
      <c r="H10" s="34"/>
      <c r="I10" s="34"/>
      <c r="J10" s="34">
        <f>$C$30*('E Balans VL '!D14+'E Balans VL '!E14)/100/3.6*1000000</f>
        <v>0</v>
      </c>
      <c r="K10" s="34"/>
      <c r="L10" s="34"/>
      <c r="M10" s="34"/>
      <c r="N10" s="34">
        <f>$C$30*'E Balans VL '!Y14/100/3.6*1000000</f>
        <v>430.77648903178965</v>
      </c>
      <c r="O10" s="34"/>
      <c r="P10" s="34"/>
      <c r="R10" s="33"/>
    </row>
    <row r="11" spans="1:18">
      <c r="A11" s="33" t="s">
        <v>55</v>
      </c>
      <c r="B11" s="38">
        <f t="shared" si="0"/>
        <v>19.3571220328378</v>
      </c>
      <c r="C11" s="34"/>
      <c r="D11" s="38">
        <f>IF(ISERROR(TER_onderwijs_gas_kWh/1000),0,TER_onderwijs_gas_kWh/1000)*0.902</f>
        <v>0</v>
      </c>
      <c r="E11" s="34">
        <f>$C$31*'E Balans VL '!I11/100/3.6*1000000</f>
        <v>1.1930913262973431E-2</v>
      </c>
      <c r="F11" s="34">
        <f>$C$31*('E Balans VL '!L11+'E Balans VL '!N11)/100/3.6*1000000</f>
        <v>7.4837768600853032</v>
      </c>
      <c r="G11" s="35"/>
      <c r="H11" s="34"/>
      <c r="I11" s="34"/>
      <c r="J11" s="34">
        <f>$C$31*('E Balans VL '!D11+'E Balans VL '!E11)/100/3.6*1000000</f>
        <v>0</v>
      </c>
      <c r="K11" s="34"/>
      <c r="L11" s="34"/>
      <c r="M11" s="34"/>
      <c r="N11" s="34">
        <f>$C$31*'E Balans VL '!Y11/100/3.6*1000000</f>
        <v>6.2964569830138567E-2</v>
      </c>
      <c r="O11" s="34"/>
      <c r="P11" s="34"/>
      <c r="R11" s="33"/>
    </row>
    <row r="12" spans="1:18">
      <c r="A12" s="33" t="s">
        <v>260</v>
      </c>
      <c r="B12" s="38">
        <f t="shared" si="0"/>
        <v>1085.73319883626</v>
      </c>
      <c r="C12" s="34"/>
      <c r="D12" s="38">
        <f>IF(ISERROR(TER_rest_gas_kWh/1000),0,TER_rest_gas_kWh/1000)*0.902</f>
        <v>1932.575631258075</v>
      </c>
      <c r="E12" s="34">
        <f>$C$32*'E Balans VL '!I8/100/3.6*1000000</f>
        <v>9.3811047382137591</v>
      </c>
      <c r="F12" s="34">
        <f>$C$32*('E Balans VL '!L8+'E Balans VL '!N8)/100/3.6*1000000</f>
        <v>216.26433559983613</v>
      </c>
      <c r="G12" s="35"/>
      <c r="H12" s="34"/>
      <c r="I12" s="34"/>
      <c r="J12" s="34">
        <f>$C$32*('E Balans VL '!D8+'E Balans VL '!E8)/100/3.6*1000000</f>
        <v>0</v>
      </c>
      <c r="K12" s="34"/>
      <c r="L12" s="34"/>
      <c r="M12" s="34"/>
      <c r="N12" s="34">
        <f>$C$32*'E Balans VL '!Y8/100/3.6*1000000</f>
        <v>71.411816629785278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5965.1969937116264</v>
      </c>
      <c r="C16" s="22">
        <f t="shared" ca="1" si="1"/>
        <v>0</v>
      </c>
      <c r="D16" s="22">
        <f t="shared" ca="1" si="1"/>
        <v>5424.4113892709474</v>
      </c>
      <c r="E16" s="22">
        <f t="shared" si="1"/>
        <v>66.997907810865883</v>
      </c>
      <c r="F16" s="22">
        <f t="shared" ca="1" si="1"/>
        <v>1232.1070940558589</v>
      </c>
      <c r="G16" s="22">
        <f t="shared" si="1"/>
        <v>0</v>
      </c>
      <c r="H16" s="22">
        <f t="shared" si="1"/>
        <v>0</v>
      </c>
      <c r="I16" s="22">
        <f t="shared" si="1"/>
        <v>0</v>
      </c>
      <c r="J16" s="22">
        <f t="shared" si="1"/>
        <v>0</v>
      </c>
      <c r="K16" s="22">
        <f t="shared" si="1"/>
        <v>0</v>
      </c>
      <c r="L16" s="22">
        <f t="shared" ca="1" si="1"/>
        <v>0</v>
      </c>
      <c r="M16" s="22">
        <f t="shared" si="1"/>
        <v>0</v>
      </c>
      <c r="N16" s="22">
        <f t="shared" ca="1" si="1"/>
        <v>515.25768725160765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0.21085404685666453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1257.7859264213057</v>
      </c>
      <c r="C20" s="24">
        <f t="shared" ref="C20:P20" ca="1" si="2">C16*C18</f>
        <v>0</v>
      </c>
      <c r="D20" s="24">
        <f t="shared" ca="1" si="2"/>
        <v>1095.7311006327313</v>
      </c>
      <c r="E20" s="24">
        <f t="shared" si="2"/>
        <v>15.208525073066555</v>
      </c>
      <c r="F20" s="24">
        <f t="shared" ca="1" si="2"/>
        <v>328.97259411291435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895.19065461785499</v>
      </c>
      <c r="C26" s="40">
        <f>IF(ISERROR(B26*3.6/1000000/'E Balans VL '!Z12*100),0,B26*3.6/1000000/'E Balans VL '!Z12*100)</f>
        <v>1.9022159441620962E-2</v>
      </c>
      <c r="D26" s="240" t="s">
        <v>707</v>
      </c>
      <c r="F26" s="6"/>
    </row>
    <row r="27" spans="1:18">
      <c r="A27" s="234" t="s">
        <v>53</v>
      </c>
      <c r="B27" s="34">
        <f>IF(ISERROR(TER_horeca_ele_kWh/1000),0,TER_horeca_ele_kWh/1000)</f>
        <v>710.29552050673408</v>
      </c>
      <c r="C27" s="40">
        <f>IF(ISERROR(B27*3.6/1000000/'E Balans VL '!Z9*100),0,B27*3.6/1000000/'E Balans VL '!Z9*100)</f>
        <v>5.5905750155320115E-2</v>
      </c>
      <c r="D27" s="240" t="s">
        <v>707</v>
      </c>
      <c r="F27" s="6"/>
    </row>
    <row r="28" spans="1:18">
      <c r="A28" s="174" t="s">
        <v>52</v>
      </c>
      <c r="B28" s="34">
        <f>IF(ISERROR(TER_handel_ele_kWh/1000),0,TER_handel_ele_kWh/1000)</f>
        <v>2430.9804381735398</v>
      </c>
      <c r="C28" s="40">
        <f>IF(ISERROR(B28*3.6/1000000/'E Balans VL '!Z13*100),0,B28*3.6/1000000/'E Balans VL '!Z13*100)</f>
        <v>6.8093063082607888E-2</v>
      </c>
      <c r="D28" s="240" t="s">
        <v>707</v>
      </c>
      <c r="F28" s="6"/>
    </row>
    <row r="29" spans="1:18">
      <c r="A29" s="234" t="s">
        <v>51</v>
      </c>
      <c r="B29" s="34">
        <f>IF(ISERROR(TER_gezond_ele_kWh/1000),0,TER_gezond_ele_kWh/1000)</f>
        <v>76.890543344689505</v>
      </c>
      <c r="C29" s="40">
        <f>IF(ISERROR(B29*3.6/1000000/'E Balans VL '!Z10*100),0,B29*3.6/1000000/'E Balans VL '!Z10*100)</f>
        <v>9.8366255701754952E-3</v>
      </c>
      <c r="D29" s="240" t="s">
        <v>707</v>
      </c>
      <c r="F29" s="6"/>
    </row>
    <row r="30" spans="1:18">
      <c r="A30" s="234" t="s">
        <v>50</v>
      </c>
      <c r="B30" s="34">
        <f>IF(ISERROR(TER_ander_ele_kWh/1000),0,TER_ander_ele_kWh/1000)</f>
        <v>746.74951619971</v>
      </c>
      <c r="C30" s="40">
        <f>IF(ISERROR(B30*3.6/1000000/'E Balans VL '!Z14*100),0,B30*3.6/1000000/'E Balans VL '!Z14*100)</f>
        <v>5.5850571590396615E-2</v>
      </c>
      <c r="D30" s="240" t="s">
        <v>707</v>
      </c>
      <c r="F30" s="6"/>
    </row>
    <row r="31" spans="1:18">
      <c r="A31" s="234" t="s">
        <v>55</v>
      </c>
      <c r="B31" s="34">
        <f>IF(ISERROR(TER_onderwijs_ele_kWh/1000),0,TER_onderwijs_ele_kWh/1000)</f>
        <v>19.3571220328378</v>
      </c>
      <c r="C31" s="40">
        <f>IF(ISERROR(B31*3.6/1000000/'E Balans VL '!Z11*100),0,B31*3.6/1000000/'E Balans VL '!Z11*100)</f>
        <v>4.0872813911157786E-3</v>
      </c>
      <c r="D31" s="240" t="s">
        <v>707</v>
      </c>
    </row>
    <row r="32" spans="1:18">
      <c r="A32" s="234" t="s">
        <v>260</v>
      </c>
      <c r="B32" s="34">
        <f>IF(ISERROR(TER_rest_ele_kWh/1000),0,TER_rest_ele_kWh/1000)</f>
        <v>1085.73319883626</v>
      </c>
      <c r="C32" s="40">
        <f>IF(ISERROR(B32*3.6/1000000/'E Balans VL '!Z8*100),0,B32*3.6/1000000/'E Balans VL '!Z8*100)</f>
        <v>8.9441963332056069E-3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6985.963708565012</v>
      </c>
      <c r="C5" s="18">
        <f>IF(ISERROR('Eigen informatie GS &amp; warmtenet'!B59),0,'Eigen informatie GS &amp; warmtenet'!B59)</f>
        <v>0</v>
      </c>
      <c r="D5" s="31">
        <f>SUM(D6:D15)</f>
        <v>1342.4603425707908</v>
      </c>
      <c r="E5" s="18">
        <f>SUM(E6:E15)</f>
        <v>147.05171121522045</v>
      </c>
      <c r="F5" s="18">
        <f>SUM(F6:F15)</f>
        <v>1817.1627404278711</v>
      </c>
      <c r="G5" s="19"/>
      <c r="H5" s="18"/>
      <c r="I5" s="18"/>
      <c r="J5" s="18">
        <f>SUM(J6:J15)</f>
        <v>3.5007879175003911</v>
      </c>
      <c r="K5" s="18"/>
      <c r="L5" s="18"/>
      <c r="M5" s="18"/>
      <c r="N5" s="18">
        <f>SUM(N6:N15)</f>
        <v>1401.0560049406311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69.847683214258197</v>
      </c>
      <c r="C8" s="34"/>
      <c r="D8" s="38">
        <f>IF( ISERROR(IND_metaal_Gas_kWH/1000),0,IND_metaal_Gas_kWH/1000)*0.902</f>
        <v>0</v>
      </c>
      <c r="E8" s="34">
        <f>C30*'E Balans VL '!I18/100/3.6*1000000</f>
        <v>0.63609026361680565</v>
      </c>
      <c r="F8" s="34">
        <f>C30*'E Balans VL '!L18/100/3.6*1000000+C30*'E Balans VL '!N18/100/3.6*1000000</f>
        <v>9.2123789835438643</v>
      </c>
      <c r="G8" s="35"/>
      <c r="H8" s="34"/>
      <c r="I8" s="34"/>
      <c r="J8" s="41">
        <f>C30*'E Balans VL '!D18/100/3.6*1000000+C30*'E Balans VL '!E18/100/3.6*1000000</f>
        <v>1.1454005895296588</v>
      </c>
      <c r="K8" s="34"/>
      <c r="L8" s="34"/>
      <c r="M8" s="34"/>
      <c r="N8" s="34">
        <f>C30*'E Balans VL '!Y18/100/3.6*1000000</f>
        <v>0.24003874028642477</v>
      </c>
      <c r="O8" s="34"/>
      <c r="P8" s="34"/>
      <c r="R8" s="33"/>
    </row>
    <row r="9" spans="1:18">
      <c r="A9" s="6" t="s">
        <v>33</v>
      </c>
      <c r="B9" s="38">
        <f t="shared" si="0"/>
        <v>1190.5482251236699</v>
      </c>
      <c r="C9" s="34"/>
      <c r="D9" s="38">
        <f>IF( ISERROR(IND_andere_gas_kWh/1000),0,IND_andere_gas_kWh/1000)*0.902</f>
        <v>663.54312143212655</v>
      </c>
      <c r="E9" s="34">
        <f>C31*'E Balans VL '!I19/100/3.6*1000000</f>
        <v>6.8815466539313661</v>
      </c>
      <c r="F9" s="34">
        <f>C31*'E Balans VL '!L19/100/3.6*1000000+C31*'E Balans VL '!N19/100/3.6*1000000</f>
        <v>947.13839999954587</v>
      </c>
      <c r="G9" s="35"/>
      <c r="H9" s="34"/>
      <c r="I9" s="34"/>
      <c r="J9" s="41">
        <f>C31*'E Balans VL '!D19/100/3.6*1000000+C31*'E Balans VL '!E19/100/3.6*1000000</f>
        <v>0.11261263786157508</v>
      </c>
      <c r="K9" s="34"/>
      <c r="L9" s="34"/>
      <c r="M9" s="34"/>
      <c r="N9" s="34">
        <f>C31*'E Balans VL '!Y19/100/3.6*1000000</f>
        <v>90.202044985205333</v>
      </c>
      <c r="O9" s="34"/>
      <c r="P9" s="34"/>
      <c r="R9" s="33"/>
    </row>
    <row r="10" spans="1:18">
      <c r="A10" s="6" t="s">
        <v>41</v>
      </c>
      <c r="B10" s="38">
        <f t="shared" si="0"/>
        <v>1830.03150297551</v>
      </c>
      <c r="C10" s="34"/>
      <c r="D10" s="38">
        <f>IF( ISERROR(IND_voed_gas_kWh/1000),0,IND_voed_gas_kWh/1000)*0.902</f>
        <v>419.75487119970734</v>
      </c>
      <c r="E10" s="34">
        <f>C32*'E Balans VL '!I20/100/3.6*1000000</f>
        <v>17.993997313571729</v>
      </c>
      <c r="F10" s="34">
        <f>C32*'E Balans VL '!L20/100/3.6*1000000+C32*'E Balans VL '!N20/100/3.6*1000000</f>
        <v>203.24888515586406</v>
      </c>
      <c r="G10" s="35"/>
      <c r="H10" s="34"/>
      <c r="I10" s="34"/>
      <c r="J10" s="41">
        <f>C32*'E Balans VL '!D20/100/3.6*1000000+C32*'E Balans VL '!E20/100/3.6*1000000</f>
        <v>7.2129849375386279E-3</v>
      </c>
      <c r="K10" s="34"/>
      <c r="L10" s="34"/>
      <c r="M10" s="34"/>
      <c r="N10" s="34">
        <f>C32*'E Balans VL '!Y20/100/3.6*1000000</f>
        <v>27.098461871224934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3450.9819577274297</v>
      </c>
      <c r="C13" s="34"/>
      <c r="D13" s="38">
        <f>IF( ISERROR(IND_papier_gas_kWh/1000),0,IND_papier_gas_kWh/1000)*0.902</f>
        <v>0</v>
      </c>
      <c r="E13" s="34">
        <f>C35*'E Balans VL '!I23/100/3.6*1000000</f>
        <v>117.54544908053967</v>
      </c>
      <c r="F13" s="34">
        <f>C35*'E Balans VL '!L23/100/3.6*1000000+C35*'E Balans VL '!N23/100/3.6*1000000</f>
        <v>570.02122661343969</v>
      </c>
      <c r="G13" s="35"/>
      <c r="H13" s="34"/>
      <c r="I13" s="34"/>
      <c r="J13" s="41">
        <f>C35*'E Balans VL '!D23/100/3.6*1000000+C35*'E Balans VL '!E23/100/3.6*1000000</f>
        <v>0</v>
      </c>
      <c r="K13" s="34"/>
      <c r="L13" s="34"/>
      <c r="M13" s="34"/>
      <c r="N13" s="34">
        <f>C35*'E Balans VL '!Y23/100/3.6*1000000</f>
        <v>1269.8688122819262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444.55433952414404</v>
      </c>
      <c r="C15" s="34"/>
      <c r="D15" s="38">
        <f>IF( ISERROR(IND_rest_gas_kWh/1000),0,IND_rest_gas_kWh/1000)*0.902</f>
        <v>259.16234993895677</v>
      </c>
      <c r="E15" s="34">
        <f>C37*'E Balans VL '!I15/100/3.6*1000000</f>
        <v>3.9946279035608772</v>
      </c>
      <c r="F15" s="34">
        <f>C37*'E Balans VL '!L15/100/3.6*1000000+C37*'E Balans VL '!N15/100/3.6*1000000</f>
        <v>87.541849675477522</v>
      </c>
      <c r="G15" s="35"/>
      <c r="H15" s="34"/>
      <c r="I15" s="34"/>
      <c r="J15" s="41">
        <f>C37*'E Balans VL '!D15/100/3.6*1000000+C37*'E Balans VL '!E15/100/3.6*1000000</f>
        <v>2.2355617051716186</v>
      </c>
      <c r="K15" s="34"/>
      <c r="L15" s="34"/>
      <c r="M15" s="34"/>
      <c r="N15" s="34">
        <f>C37*'E Balans VL '!Y15/100/3.6*1000000</f>
        <v>13.646647061988148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6985.963708565012</v>
      </c>
      <c r="C18" s="22">
        <f>C5+C16</f>
        <v>0</v>
      </c>
      <c r="D18" s="22">
        <f>MAX((D5+D16),0)</f>
        <v>1342.4603425707908</v>
      </c>
      <c r="E18" s="22">
        <f>MAX((E5+E16),0)</f>
        <v>147.05171121522045</v>
      </c>
      <c r="F18" s="22">
        <f>MAX((F5+F16),0)</f>
        <v>1817.1627404278711</v>
      </c>
      <c r="G18" s="22"/>
      <c r="H18" s="22"/>
      <c r="I18" s="22"/>
      <c r="J18" s="22">
        <f>MAX((J5+J16),0)</f>
        <v>3.5007879175003911</v>
      </c>
      <c r="K18" s="22"/>
      <c r="L18" s="22">
        <f>MAX((L5+L16),0)</f>
        <v>0</v>
      </c>
      <c r="M18" s="22"/>
      <c r="N18" s="22">
        <f>MAX((N5+N16),0)</f>
        <v>1401.0560049406311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0.21085404685666453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1473.0187191447251</v>
      </c>
      <c r="C22" s="24">
        <f ca="1">C18*C20</f>
        <v>0</v>
      </c>
      <c r="D22" s="24">
        <f>D18*D20</f>
        <v>271.17698919929973</v>
      </c>
      <c r="E22" s="24">
        <f>E18*E20</f>
        <v>33.380738445855044</v>
      </c>
      <c r="F22" s="24">
        <f>F18*F20</f>
        <v>485.18245169424159</v>
      </c>
      <c r="G22" s="24"/>
      <c r="H22" s="24"/>
      <c r="I22" s="24"/>
      <c r="J22" s="24">
        <f>J18*J20</f>
        <v>1.2392789227951384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69.847683214258197</v>
      </c>
      <c r="C30" s="40">
        <f>IF(ISERROR(B30*3.6/1000000/'E Balans VL '!Z18*100),0,B30*3.6/1000000/'E Balans VL '!Z18*100)</f>
        <v>3.886556503423132E-3</v>
      </c>
      <c r="D30" s="240" t="s">
        <v>707</v>
      </c>
    </row>
    <row r="31" spans="1:18">
      <c r="A31" s="6" t="s">
        <v>33</v>
      </c>
      <c r="B31" s="38">
        <f>IF( ISERROR(IND_ander_ele_kWh/1000),0,IND_ander_ele_kWh/1000)</f>
        <v>1190.5482251236699</v>
      </c>
      <c r="C31" s="40">
        <f>IF(ISERROR(B31*3.6/1000000/'E Balans VL '!Z19*100),0,B31*3.6/1000000/'E Balans VL '!Z19*100)</f>
        <v>5.5345460245961813E-2</v>
      </c>
      <c r="D31" s="240" t="s">
        <v>707</v>
      </c>
    </row>
    <row r="32" spans="1:18">
      <c r="A32" s="174" t="s">
        <v>41</v>
      </c>
      <c r="B32" s="38">
        <f>IF( ISERROR(IND_voed_ele_kWh/1000),0,IND_voed_ele_kWh/1000)</f>
        <v>1830.03150297551</v>
      </c>
      <c r="C32" s="40">
        <f>IF(ISERROR(B32*3.6/1000000/'E Balans VL '!Z20*100),0,B32*3.6/1000000/'E Balans VL '!Z20*100)</f>
        <v>6.4687917725040803E-2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3450.9819577274297</v>
      </c>
      <c r="C35" s="40">
        <f>IF(ISERROR(B35*3.6/1000000/'E Balans VL '!Z22*100),0,B35*3.6/1000000/'E Balans VL '!Z22*100)</f>
        <v>0.69355005909968503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444.55433952414404</v>
      </c>
      <c r="C37" s="40">
        <f>IF(ISERROR(B37*3.6/1000000/'E Balans VL '!Z15*100),0,B37*3.6/1000000/'E Balans VL '!Z15*100)</f>
        <v>3.357041969470551E-3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2391.4971627055265</v>
      </c>
      <c r="C5" s="18">
        <f>'Eigen informatie GS &amp; warmtenet'!B60</f>
        <v>0</v>
      </c>
      <c r="D5" s="31">
        <f>IF(ISERROR(SUM(LB_lb_gas_kWh,LB_rest_gas_kWh)/1000),0,SUM(LB_lb_gas_kWh,LB_rest_gas_kWh)/1000)*0.902</f>
        <v>46.146333441233281</v>
      </c>
      <c r="E5" s="18">
        <f>B17*'E Balans VL '!I25/3.6*1000000/100</f>
        <v>22.529505628347302</v>
      </c>
      <c r="F5" s="18">
        <f>B17*('E Balans VL '!L25/3.6*1000000+'E Balans VL '!N25/3.6*1000000)/100</f>
        <v>7804.2489101139045</v>
      </c>
      <c r="G5" s="19"/>
      <c r="H5" s="18"/>
      <c r="I5" s="18"/>
      <c r="J5" s="18">
        <f>('E Balans VL '!D25+'E Balans VL '!E25)/3.6*1000000*landbouw!B17/100</f>
        <v>295.83983126663861</v>
      </c>
      <c r="K5" s="18"/>
      <c r="L5" s="18">
        <f>L6*(-1)</f>
        <v>0</v>
      </c>
      <c r="M5" s="18"/>
      <c r="N5" s="18">
        <f>N6*(-1)</f>
        <v>11.337662337662337</v>
      </c>
      <c r="O5" s="18"/>
      <c r="P5" s="18"/>
      <c r="R5" s="33"/>
    </row>
    <row r="6" spans="1:18">
      <c r="A6" s="17" t="s">
        <v>502</v>
      </c>
      <c r="B6" s="18" t="s">
        <v>211</v>
      </c>
      <c r="C6" s="18">
        <f>'lokale energieproductie'!O92+'lokale energieproductie'!O61</f>
        <v>5.6688311688311686</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-11.337662337662337</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2391.4971627055265</v>
      </c>
      <c r="C8" s="22">
        <f>C5+C6</f>
        <v>5.6688311688311686</v>
      </c>
      <c r="D8" s="22">
        <f>MAX((D5+D6),0)</f>
        <v>46.146333441233281</v>
      </c>
      <c r="E8" s="22">
        <f>MAX((E5+E6),0)</f>
        <v>22.529505628347302</v>
      </c>
      <c r="F8" s="22">
        <f>MAX((F5+F6),0)</f>
        <v>7804.2489101139045</v>
      </c>
      <c r="G8" s="22"/>
      <c r="H8" s="22"/>
      <c r="I8" s="22"/>
      <c r="J8" s="22">
        <f>MAX((J5+J6),0)</f>
        <v>295.83983126663861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0.21085404685666453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504.25685480269141</v>
      </c>
      <c r="C12" s="24">
        <f ca="1">C8*C10</f>
        <v>0</v>
      </c>
      <c r="D12" s="24">
        <f>D8*D10</f>
        <v>9.3215593551291231</v>
      </c>
      <c r="E12" s="24">
        <f>E8*E10</f>
        <v>5.1141977776348373</v>
      </c>
      <c r="F12" s="24">
        <f>F8*F10</f>
        <v>2083.7344590004127</v>
      </c>
      <c r="G12" s="24"/>
      <c r="H12" s="24"/>
      <c r="I12" s="24"/>
      <c r="J12" s="24">
        <f>J8*J10</f>
        <v>104.72730026839007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0.32377050092728293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427.53770686940612</v>
      </c>
      <c r="C26" s="250">
        <f>B26*'GWP N2O_CH4'!B5</f>
        <v>8978.2918442575283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250.03132123328746</v>
      </c>
      <c r="C27" s="250">
        <f>B27*'GWP N2O_CH4'!B5</f>
        <v>5250.6577458990369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6.7473205336529709</v>
      </c>
      <c r="C28" s="250">
        <f>B28*'GWP N2O_CH4'!B4</f>
        <v>2091.6693654324208</v>
      </c>
      <c r="D28" s="51"/>
    </row>
    <row r="29" spans="1:4">
      <c r="A29" s="42" t="s">
        <v>277</v>
      </c>
      <c r="B29" s="250">
        <f>B34*'ha_N2O bodem landbouw'!B4</f>
        <v>13.192752731103997</v>
      </c>
      <c r="C29" s="250">
        <f>B29*'GWP N2O_CH4'!B4</f>
        <v>4089.7533466422392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3.5616279260217718E-3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4.7292513870358995E-6</v>
      </c>
      <c r="C5" s="447" t="s">
        <v>211</v>
      </c>
      <c r="D5" s="432">
        <f>SUM(D6:D11)</f>
        <v>1.2264858441750591E-5</v>
      </c>
      <c r="E5" s="432">
        <f>SUM(E6:E11)</f>
        <v>7.1907819298946409E-4</v>
      </c>
      <c r="F5" s="445" t="s">
        <v>211</v>
      </c>
      <c r="G5" s="432">
        <f>SUM(G6:G11)</f>
        <v>0.1532173315434206</v>
      </c>
      <c r="H5" s="432">
        <f>SUM(H6:H11)</f>
        <v>2.7408760064831891E-2</v>
      </c>
      <c r="I5" s="447" t="s">
        <v>211</v>
      </c>
      <c r="J5" s="447" t="s">
        <v>211</v>
      </c>
      <c r="K5" s="447" t="s">
        <v>211</v>
      </c>
      <c r="L5" s="447" t="s">
        <v>211</v>
      </c>
      <c r="M5" s="432">
        <f>SUM(M6:M11)</f>
        <v>8.0765815768572419E-3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4.3600876559977953E-6</v>
      </c>
      <c r="C6" s="433"/>
      <c r="D6" s="433">
        <f>vkm_2011_GW_PW*SUMIFS(TableVerdeelsleutelVkm[CNG],TableVerdeelsleutelVkm[Voertuigtype],"Lichte voertuigen")*SUMIFS(TableECFTransport[EnergieConsumptieFactor (PJ per km)],TableECFTransport[Index],CONCATENATE($A6,"_CNG_CNG"))</f>
        <v>1.0647407074798713E-5</v>
      </c>
      <c r="E6" s="435">
        <f>vkm_2011_GW_PW*SUMIFS(TableVerdeelsleutelVkm[LPG],TableVerdeelsleutelVkm[Voertuigtype],"Lichte voertuigen")*SUMIFS(TableECFTransport[EnergieConsumptieFactor (PJ per km)],TableECFTransport[Index],CONCATENATE($A6,"_LPG_LPG"))</f>
        <v>6.3112326707405908E-4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9.1236292459205101E-2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2.3910411083429745E-2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5.1564814402999893E-3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4.9327627054615679E-2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1.9901774394004991E-5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2.1975305234221815E-3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3.6916373103810419E-7</v>
      </c>
      <c r="C8" s="433"/>
      <c r="D8" s="435">
        <f>vkm_2011_NGW_PW*SUMIFS(TableVerdeelsleutelVkm[CNG],TableVerdeelsleutelVkm[Voertuigtype],"Lichte voertuigen")*SUMIFS(TableECFTransport[EnergieConsumptieFactor (PJ per km)],TableECFTransport[Index],CONCATENATE($A8,"_CNG_CNG"))</f>
        <v>1.6174513669518786E-6</v>
      </c>
      <c r="E8" s="435">
        <f>vkm_2011_NGW_PW*SUMIFS(TableVerdeelsleutelVkm[LPG],TableVerdeelsleutelVkm[Voertuigtype],"Lichte voertuigen")*SUMIFS(TableECFTransport[EnergieConsumptieFactor (PJ per km)],TableECFTransport[Index],CONCATENATE($A8,"_LPG_LPG"))</f>
        <v>8.7954925915405022E-5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1.2011592908659155E-2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3.4782217412600565E-3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6.9397830133418876E-4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6.4181912094065274E-4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2.2546574808222334E-7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2.8591311800884036E-5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1.3136809408433054</v>
      </c>
      <c r="C14" s="22"/>
      <c r="D14" s="22">
        <f t="shared" ref="D14:M14" si="0">((D5)*10^9/3600)+D12</f>
        <v>3.4069051227084977</v>
      </c>
      <c r="E14" s="22">
        <f t="shared" si="0"/>
        <v>199.74394249707336</v>
      </c>
      <c r="F14" s="22"/>
      <c r="G14" s="22">
        <f t="shared" si="0"/>
        <v>42560.369873172393</v>
      </c>
      <c r="H14" s="22">
        <f t="shared" si="0"/>
        <v>7613.5444624533029</v>
      </c>
      <c r="I14" s="22"/>
      <c r="J14" s="22"/>
      <c r="K14" s="22"/>
      <c r="L14" s="22"/>
      <c r="M14" s="22">
        <f t="shared" si="0"/>
        <v>2243.4948824603448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0.21085404685666453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0.27699494265528146</v>
      </c>
      <c r="C18" s="24"/>
      <c r="D18" s="24">
        <f t="shared" ref="D18:M18" si="1">D14*D16</f>
        <v>0.68819483478711652</v>
      </c>
      <c r="E18" s="24">
        <f t="shared" si="1"/>
        <v>45.341874946835652</v>
      </c>
      <c r="F18" s="24"/>
      <c r="G18" s="24">
        <f t="shared" si="1"/>
        <v>11363.61875613703</v>
      </c>
      <c r="H18" s="24">
        <f t="shared" si="1"/>
        <v>1895.7725711508724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2.0202222943681561E-3</v>
      </c>
      <c r="H50" s="323">
        <f t="shared" si="2"/>
        <v>0</v>
      </c>
      <c r="I50" s="323">
        <f t="shared" si="2"/>
        <v>0</v>
      </c>
      <c r="J50" s="323">
        <f t="shared" si="2"/>
        <v>0</v>
      </c>
      <c r="K50" s="323">
        <f t="shared" si="2"/>
        <v>0</v>
      </c>
      <c r="L50" s="323">
        <f t="shared" si="2"/>
        <v>0</v>
      </c>
      <c r="M50" s="323">
        <f t="shared" si="2"/>
        <v>8.8711293510835873E-5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2.0202222943681561E-3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8.8711293510835873E-5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561.17285954671001</v>
      </c>
      <c r="H54" s="22">
        <f t="shared" si="3"/>
        <v>0</v>
      </c>
      <c r="I54" s="22">
        <f t="shared" si="3"/>
        <v>0</v>
      </c>
      <c r="J54" s="22">
        <f t="shared" si="3"/>
        <v>0</v>
      </c>
      <c r="K54" s="22">
        <f t="shared" si="3"/>
        <v>0</v>
      </c>
      <c r="L54" s="22">
        <f t="shared" si="3"/>
        <v>0</v>
      </c>
      <c r="M54" s="22">
        <f t="shared" si="3"/>
        <v>24.64202597523219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0.21085404685666453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149.83315349897157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6575.9609937116265</v>
      </c>
      <c r="D10" s="688">
        <f ca="1">tertiair!C16</f>
        <v>0</v>
      </c>
      <c r="E10" s="688">
        <f ca="1">tertiair!D16</f>
        <v>5424.4113892709474</v>
      </c>
      <c r="F10" s="688">
        <f>tertiair!E16</f>
        <v>66.997907810865883</v>
      </c>
      <c r="G10" s="688">
        <f ca="1">tertiair!F16</f>
        <v>1232.1070940558589</v>
      </c>
      <c r="H10" s="688">
        <f>tertiair!G16</f>
        <v>0</v>
      </c>
      <c r="I10" s="688">
        <f>tertiair!H16</f>
        <v>0</v>
      </c>
      <c r="J10" s="688">
        <f>tertiair!I16</f>
        <v>0</v>
      </c>
      <c r="K10" s="688">
        <f>tertiair!J16</f>
        <v>0</v>
      </c>
      <c r="L10" s="688">
        <f>tertiair!K16</f>
        <v>0</v>
      </c>
      <c r="M10" s="688">
        <f ca="1">tertiair!L16</f>
        <v>0</v>
      </c>
      <c r="N10" s="688">
        <f>tertiair!M16</f>
        <v>0</v>
      </c>
      <c r="O10" s="688">
        <f ca="1">tertiair!N16</f>
        <v>515.25768725160765</v>
      </c>
      <c r="P10" s="688">
        <f>tertiair!O16</f>
        <v>0</v>
      </c>
      <c r="Q10" s="689">
        <f>tertiair!P16</f>
        <v>0</v>
      </c>
      <c r="R10" s="691">
        <f ca="1">SUM(C10:Q10)</f>
        <v>13814.735072100906</v>
      </c>
      <c r="S10" s="68"/>
    </row>
    <row r="11" spans="1:19" s="457" customFormat="1">
      <c r="A11" s="803" t="s">
        <v>225</v>
      </c>
      <c r="B11" s="808"/>
      <c r="C11" s="688">
        <f>huishoudens!B8</f>
        <v>18409.222488141691</v>
      </c>
      <c r="D11" s="688">
        <f>huishoudens!C8</f>
        <v>0</v>
      </c>
      <c r="E11" s="688">
        <f>huishoudens!D8</f>
        <v>19795.479881091487</v>
      </c>
      <c r="F11" s="688">
        <f>huishoudens!E8</f>
        <v>3181.5095821246455</v>
      </c>
      <c r="G11" s="688">
        <f>huishoudens!F8</f>
        <v>19392.46232613947</v>
      </c>
      <c r="H11" s="688">
        <f>huishoudens!G8</f>
        <v>0</v>
      </c>
      <c r="I11" s="688">
        <f>huishoudens!H8</f>
        <v>0</v>
      </c>
      <c r="J11" s="688">
        <f>huishoudens!I8</f>
        <v>0</v>
      </c>
      <c r="K11" s="688">
        <f>huishoudens!J8</f>
        <v>3079.965036979384</v>
      </c>
      <c r="L11" s="688">
        <f>huishoudens!K8</f>
        <v>0</v>
      </c>
      <c r="M11" s="688">
        <f>huishoudens!L8</f>
        <v>0</v>
      </c>
      <c r="N11" s="688">
        <f>huishoudens!M8</f>
        <v>0</v>
      </c>
      <c r="O11" s="688">
        <f>huishoudens!N8</f>
        <v>15867.134179126177</v>
      </c>
      <c r="P11" s="688">
        <f>huishoudens!O8</f>
        <v>56.280000000000008</v>
      </c>
      <c r="Q11" s="689">
        <f>huishoudens!P8</f>
        <v>171.6</v>
      </c>
      <c r="R11" s="691">
        <f>SUM(C11:Q11)</f>
        <v>79953.653493602862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6985.963708565012</v>
      </c>
      <c r="D13" s="688">
        <f>industrie!C18</f>
        <v>0</v>
      </c>
      <c r="E13" s="688">
        <f>industrie!D18</f>
        <v>1342.4603425707908</v>
      </c>
      <c r="F13" s="688">
        <f>industrie!E18</f>
        <v>147.05171121522045</v>
      </c>
      <c r="G13" s="688">
        <f>industrie!F18</f>
        <v>1817.1627404278711</v>
      </c>
      <c r="H13" s="688">
        <f>industrie!G18</f>
        <v>0</v>
      </c>
      <c r="I13" s="688">
        <f>industrie!H18</f>
        <v>0</v>
      </c>
      <c r="J13" s="688">
        <f>industrie!I18</f>
        <v>0</v>
      </c>
      <c r="K13" s="688">
        <f>industrie!J18</f>
        <v>3.5007879175003911</v>
      </c>
      <c r="L13" s="688">
        <f>industrie!K18</f>
        <v>0</v>
      </c>
      <c r="M13" s="688">
        <f>industrie!L18</f>
        <v>0</v>
      </c>
      <c r="N13" s="688">
        <f>industrie!M18</f>
        <v>0</v>
      </c>
      <c r="O13" s="688">
        <f>industrie!N18</f>
        <v>1401.0560049406311</v>
      </c>
      <c r="P13" s="688">
        <f>industrie!O18</f>
        <v>0</v>
      </c>
      <c r="Q13" s="689">
        <f>industrie!P18</f>
        <v>0</v>
      </c>
      <c r="R13" s="691">
        <f>SUM(C13:Q13)</f>
        <v>11697.195295637026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31971.147190418327</v>
      </c>
      <c r="D16" s="721">
        <f t="shared" ref="D16:R16" ca="1" si="0">SUM(D9:D15)</f>
        <v>0</v>
      </c>
      <c r="E16" s="721">
        <f t="shared" ca="1" si="0"/>
        <v>26562.351612933224</v>
      </c>
      <c r="F16" s="721">
        <f t="shared" si="0"/>
        <v>3395.559201150732</v>
      </c>
      <c r="G16" s="721">
        <f t="shared" ca="1" si="0"/>
        <v>22441.7321606232</v>
      </c>
      <c r="H16" s="721">
        <f t="shared" si="0"/>
        <v>0</v>
      </c>
      <c r="I16" s="721">
        <f t="shared" si="0"/>
        <v>0</v>
      </c>
      <c r="J16" s="721">
        <f t="shared" si="0"/>
        <v>0</v>
      </c>
      <c r="K16" s="721">
        <f t="shared" si="0"/>
        <v>3083.4658248968844</v>
      </c>
      <c r="L16" s="721">
        <f t="shared" si="0"/>
        <v>0</v>
      </c>
      <c r="M16" s="721">
        <f t="shared" ca="1" si="0"/>
        <v>0</v>
      </c>
      <c r="N16" s="721">
        <f t="shared" si="0"/>
        <v>0</v>
      </c>
      <c r="O16" s="721">
        <f t="shared" ca="1" si="0"/>
        <v>17783.447871318414</v>
      </c>
      <c r="P16" s="721">
        <f t="shared" si="0"/>
        <v>56.280000000000008</v>
      </c>
      <c r="Q16" s="721">
        <f t="shared" si="0"/>
        <v>171.6</v>
      </c>
      <c r="R16" s="721">
        <f t="shared" ca="1" si="0"/>
        <v>105465.58386134078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561.17285954671001</v>
      </c>
      <c r="I19" s="688">
        <f>transport!H54</f>
        <v>0</v>
      </c>
      <c r="J19" s="688">
        <f>transport!I54</f>
        <v>0</v>
      </c>
      <c r="K19" s="688">
        <f>transport!J54</f>
        <v>0</v>
      </c>
      <c r="L19" s="688">
        <f>transport!K54</f>
        <v>0</v>
      </c>
      <c r="M19" s="688">
        <f>transport!L54</f>
        <v>0</v>
      </c>
      <c r="N19" s="688">
        <f>transport!M54</f>
        <v>24.64202597523219</v>
      </c>
      <c r="O19" s="688">
        <f>transport!N54</f>
        <v>0</v>
      </c>
      <c r="P19" s="688">
        <f>transport!O54</f>
        <v>0</v>
      </c>
      <c r="Q19" s="689">
        <f>transport!P54</f>
        <v>0</v>
      </c>
      <c r="R19" s="691">
        <f>SUM(C19:Q19)</f>
        <v>585.81488552194219</v>
      </c>
      <c r="S19" s="68"/>
    </row>
    <row r="20" spans="1:19" s="457" customFormat="1">
      <c r="A20" s="803" t="s">
        <v>307</v>
      </c>
      <c r="B20" s="808"/>
      <c r="C20" s="688">
        <f>transport!B14</f>
        <v>1.3136809408433054</v>
      </c>
      <c r="D20" s="688">
        <f>transport!C14</f>
        <v>0</v>
      </c>
      <c r="E20" s="688">
        <f>transport!D14</f>
        <v>3.4069051227084977</v>
      </c>
      <c r="F20" s="688">
        <f>transport!E14</f>
        <v>199.74394249707336</v>
      </c>
      <c r="G20" s="688">
        <f>transport!F14</f>
        <v>0</v>
      </c>
      <c r="H20" s="688">
        <f>transport!G14</f>
        <v>42560.369873172393</v>
      </c>
      <c r="I20" s="688">
        <f>transport!H14</f>
        <v>7613.5444624533029</v>
      </c>
      <c r="J20" s="688">
        <f>transport!I14</f>
        <v>0</v>
      </c>
      <c r="K20" s="688">
        <f>transport!J14</f>
        <v>0</v>
      </c>
      <c r="L20" s="688">
        <f>transport!K14</f>
        <v>0</v>
      </c>
      <c r="M20" s="688">
        <f>transport!L14</f>
        <v>0</v>
      </c>
      <c r="N20" s="688">
        <f>transport!M14</f>
        <v>2243.4948824603448</v>
      </c>
      <c r="O20" s="688">
        <f>transport!N14</f>
        <v>0</v>
      </c>
      <c r="P20" s="688">
        <f>transport!O14</f>
        <v>0</v>
      </c>
      <c r="Q20" s="689">
        <f>transport!P14</f>
        <v>0</v>
      </c>
      <c r="R20" s="691">
        <f>SUM(C20:Q20)</f>
        <v>52621.873746646663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1.3136809408433054</v>
      </c>
      <c r="D22" s="806">
        <f t="shared" ref="D22:R22" si="1">SUM(D18:D21)</f>
        <v>0</v>
      </c>
      <c r="E22" s="806">
        <f t="shared" si="1"/>
        <v>3.4069051227084977</v>
      </c>
      <c r="F22" s="806">
        <f t="shared" si="1"/>
        <v>199.74394249707336</v>
      </c>
      <c r="G22" s="806">
        <f t="shared" si="1"/>
        <v>0</v>
      </c>
      <c r="H22" s="806">
        <f t="shared" si="1"/>
        <v>43121.542732719099</v>
      </c>
      <c r="I22" s="806">
        <f t="shared" si="1"/>
        <v>7613.5444624533029</v>
      </c>
      <c r="J22" s="806">
        <f t="shared" si="1"/>
        <v>0</v>
      </c>
      <c r="K22" s="806">
        <f t="shared" si="1"/>
        <v>0</v>
      </c>
      <c r="L22" s="806">
        <f t="shared" si="1"/>
        <v>0</v>
      </c>
      <c r="M22" s="806">
        <f t="shared" si="1"/>
        <v>0</v>
      </c>
      <c r="N22" s="806">
        <f t="shared" si="1"/>
        <v>2268.136908435577</v>
      </c>
      <c r="O22" s="806">
        <f t="shared" si="1"/>
        <v>0</v>
      </c>
      <c r="P22" s="806">
        <f t="shared" si="1"/>
        <v>0</v>
      </c>
      <c r="Q22" s="806">
        <f t="shared" si="1"/>
        <v>0</v>
      </c>
      <c r="R22" s="806">
        <f t="shared" si="1"/>
        <v>53207.688632168603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2391.4971627055265</v>
      </c>
      <c r="D24" s="688">
        <f>+landbouw!C8</f>
        <v>5.6688311688311686</v>
      </c>
      <c r="E24" s="688">
        <f>+landbouw!D8</f>
        <v>46.146333441233281</v>
      </c>
      <c r="F24" s="688">
        <f>+landbouw!E8</f>
        <v>22.529505628347302</v>
      </c>
      <c r="G24" s="688">
        <f>+landbouw!F8</f>
        <v>7804.2489101139045</v>
      </c>
      <c r="H24" s="688">
        <f>+landbouw!G8</f>
        <v>0</v>
      </c>
      <c r="I24" s="688">
        <f>+landbouw!H8</f>
        <v>0</v>
      </c>
      <c r="J24" s="688">
        <f>+landbouw!I8</f>
        <v>0</v>
      </c>
      <c r="K24" s="688">
        <f>+landbouw!J8</f>
        <v>295.83983126663861</v>
      </c>
      <c r="L24" s="688">
        <f>+landbouw!K8</f>
        <v>0</v>
      </c>
      <c r="M24" s="688">
        <f>+landbouw!L8</f>
        <v>0</v>
      </c>
      <c r="N24" s="688">
        <f>+landbouw!M8</f>
        <v>0</v>
      </c>
      <c r="O24" s="688">
        <f>+landbouw!N8</f>
        <v>0</v>
      </c>
      <c r="P24" s="688">
        <f>+landbouw!O8</f>
        <v>0</v>
      </c>
      <c r="Q24" s="689">
        <f>+landbouw!P8</f>
        <v>0</v>
      </c>
      <c r="R24" s="691">
        <f>SUM(C24:Q24)</f>
        <v>10565.93057432448</v>
      </c>
      <c r="S24" s="68"/>
    </row>
    <row r="25" spans="1:19" s="457" customFormat="1" ht="15" thickBot="1">
      <c r="A25" s="825" t="s">
        <v>912</v>
      </c>
      <c r="B25" s="1001"/>
      <c r="C25" s="1002">
        <f>IF(Onbekend_ele_kWh="---",0,Onbekend_ele_kWh)/1000+IF(REST_rest_ele_kWh="---",0,REST_rest_ele_kWh)/1000</f>
        <v>832.24595062608898</v>
      </c>
      <c r="D25" s="1002"/>
      <c r="E25" s="1002">
        <f>IF(onbekend_gas_kWh="---",0,onbekend_gas_kWh)/1000+IF(REST_rest_gas_kWh="---",0,REST_rest_gas_kWh)/1000</f>
        <v>763.68274796332901</v>
      </c>
      <c r="F25" s="1002"/>
      <c r="G25" s="1002"/>
      <c r="H25" s="1002"/>
      <c r="I25" s="1002"/>
      <c r="J25" s="1002"/>
      <c r="K25" s="1002"/>
      <c r="L25" s="1002"/>
      <c r="M25" s="1002"/>
      <c r="N25" s="1002"/>
      <c r="O25" s="1002"/>
      <c r="P25" s="1002"/>
      <c r="Q25" s="1003"/>
      <c r="R25" s="691">
        <f>SUM(C25:Q25)</f>
        <v>1595.928698589418</v>
      </c>
      <c r="S25" s="68"/>
    </row>
    <row r="26" spans="1:19" s="457" customFormat="1" ht="15.75" thickBot="1">
      <c r="A26" s="694" t="s">
        <v>913</v>
      </c>
      <c r="B26" s="811"/>
      <c r="C26" s="806">
        <f>SUM(C24:C25)</f>
        <v>3223.7431133316154</v>
      </c>
      <c r="D26" s="806">
        <f t="shared" ref="D26:R26" si="2">SUM(D24:D25)</f>
        <v>5.6688311688311686</v>
      </c>
      <c r="E26" s="806">
        <f t="shared" si="2"/>
        <v>809.82908140456232</v>
      </c>
      <c r="F26" s="806">
        <f t="shared" si="2"/>
        <v>22.529505628347302</v>
      </c>
      <c r="G26" s="806">
        <f t="shared" si="2"/>
        <v>7804.2489101139045</v>
      </c>
      <c r="H26" s="806">
        <f t="shared" si="2"/>
        <v>0</v>
      </c>
      <c r="I26" s="806">
        <f t="shared" si="2"/>
        <v>0</v>
      </c>
      <c r="J26" s="806">
        <f t="shared" si="2"/>
        <v>0</v>
      </c>
      <c r="K26" s="806">
        <f t="shared" si="2"/>
        <v>295.83983126663861</v>
      </c>
      <c r="L26" s="806">
        <f t="shared" si="2"/>
        <v>0</v>
      </c>
      <c r="M26" s="806">
        <f t="shared" si="2"/>
        <v>0</v>
      </c>
      <c r="N26" s="806">
        <f t="shared" si="2"/>
        <v>0</v>
      </c>
      <c r="O26" s="806">
        <f t="shared" si="2"/>
        <v>0</v>
      </c>
      <c r="P26" s="806">
        <f t="shared" si="2"/>
        <v>0</v>
      </c>
      <c r="Q26" s="806">
        <f t="shared" si="2"/>
        <v>0</v>
      </c>
      <c r="R26" s="806">
        <f t="shared" si="2"/>
        <v>12161.859272913898</v>
      </c>
      <c r="S26" s="68"/>
    </row>
    <row r="27" spans="1:19" s="457" customFormat="1" ht="17.25" thickTop="1" thickBot="1">
      <c r="A27" s="695" t="s">
        <v>116</v>
      </c>
      <c r="B27" s="798"/>
      <c r="C27" s="696">
        <f ca="1">C22+C16+C26</f>
        <v>35196.203984690786</v>
      </c>
      <c r="D27" s="696">
        <f t="shared" ref="D27:R27" ca="1" si="3">D22+D16+D26</f>
        <v>5.6688311688311686</v>
      </c>
      <c r="E27" s="696">
        <f t="shared" ca="1" si="3"/>
        <v>27375.587599460494</v>
      </c>
      <c r="F27" s="696">
        <f t="shared" si="3"/>
        <v>3617.8326492761526</v>
      </c>
      <c r="G27" s="696">
        <f t="shared" ca="1" si="3"/>
        <v>30245.981070737103</v>
      </c>
      <c r="H27" s="696">
        <f t="shared" si="3"/>
        <v>43121.542732719099</v>
      </c>
      <c r="I27" s="696">
        <f t="shared" si="3"/>
        <v>7613.5444624533029</v>
      </c>
      <c r="J27" s="696">
        <f t="shared" si="3"/>
        <v>0</v>
      </c>
      <c r="K27" s="696">
        <f t="shared" si="3"/>
        <v>3379.3056561635231</v>
      </c>
      <c r="L27" s="696">
        <f t="shared" si="3"/>
        <v>0</v>
      </c>
      <c r="M27" s="696">
        <f t="shared" ca="1" si="3"/>
        <v>0</v>
      </c>
      <c r="N27" s="696">
        <f t="shared" si="3"/>
        <v>2268.136908435577</v>
      </c>
      <c r="O27" s="696">
        <f t="shared" ca="1" si="3"/>
        <v>17783.447871318414</v>
      </c>
      <c r="P27" s="696">
        <f t="shared" si="3"/>
        <v>56.280000000000008</v>
      </c>
      <c r="Q27" s="696">
        <f t="shared" si="3"/>
        <v>171.6</v>
      </c>
      <c r="R27" s="696">
        <f t="shared" ca="1" si="3"/>
        <v>170835.13176642329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1386.5679874956695</v>
      </c>
      <c r="D40" s="688">
        <f ca="1">tertiair!C20</f>
        <v>0</v>
      </c>
      <c r="E40" s="688">
        <f ca="1">tertiair!D20</f>
        <v>1095.7311006327313</v>
      </c>
      <c r="F40" s="688">
        <f>tertiair!E20</f>
        <v>15.208525073066555</v>
      </c>
      <c r="G40" s="688">
        <f ca="1">tertiair!F20</f>
        <v>328.97259411291435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2826.4802073143819</v>
      </c>
    </row>
    <row r="41" spans="1:18">
      <c r="A41" s="816" t="s">
        <v>225</v>
      </c>
      <c r="B41" s="823"/>
      <c r="C41" s="688">
        <f ca="1">huishoudens!B12</f>
        <v>3881.6590611093907</v>
      </c>
      <c r="D41" s="688">
        <f ca="1">huishoudens!C12</f>
        <v>0</v>
      </c>
      <c r="E41" s="688">
        <f>huishoudens!D12</f>
        <v>3998.6869359804805</v>
      </c>
      <c r="F41" s="688">
        <f>huishoudens!E12</f>
        <v>722.20267514229454</v>
      </c>
      <c r="G41" s="688">
        <f>huishoudens!F12</f>
        <v>5177.7874410792392</v>
      </c>
      <c r="H41" s="688">
        <f>huishoudens!G12</f>
        <v>0</v>
      </c>
      <c r="I41" s="688">
        <f>huishoudens!H12</f>
        <v>0</v>
      </c>
      <c r="J41" s="688">
        <f>huishoudens!I12</f>
        <v>0</v>
      </c>
      <c r="K41" s="688">
        <f>huishoudens!J12</f>
        <v>1090.3076230907018</v>
      </c>
      <c r="L41" s="688">
        <f>huishoudens!K12</f>
        <v>0</v>
      </c>
      <c r="M41" s="688">
        <f>huishoudens!L12</f>
        <v>0</v>
      </c>
      <c r="N41" s="688">
        <f>huishoudens!M12</f>
        <v>0</v>
      </c>
      <c r="O41" s="688">
        <f>huishoudens!N12</f>
        <v>0</v>
      </c>
      <c r="P41" s="688">
        <f>huishoudens!O12</f>
        <v>0</v>
      </c>
      <c r="Q41" s="763">
        <f>huishoudens!P12</f>
        <v>0</v>
      </c>
      <c r="R41" s="844">
        <f t="shared" ca="1" si="4"/>
        <v>14870.643736402108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1473.0187191447251</v>
      </c>
      <c r="D43" s="688">
        <f ca="1">industrie!C22</f>
        <v>0</v>
      </c>
      <c r="E43" s="688">
        <f>industrie!D22</f>
        <v>271.17698919929973</v>
      </c>
      <c r="F43" s="688">
        <f>industrie!E22</f>
        <v>33.380738445855044</v>
      </c>
      <c r="G43" s="688">
        <f>industrie!F22</f>
        <v>485.18245169424159</v>
      </c>
      <c r="H43" s="688">
        <f>industrie!G22</f>
        <v>0</v>
      </c>
      <c r="I43" s="688">
        <f>industrie!H22</f>
        <v>0</v>
      </c>
      <c r="J43" s="688">
        <f>industrie!I22</f>
        <v>0</v>
      </c>
      <c r="K43" s="688">
        <f>industrie!J22</f>
        <v>1.2392789227951384</v>
      </c>
      <c r="L43" s="688">
        <f>industrie!K22</f>
        <v>0</v>
      </c>
      <c r="M43" s="688">
        <f>industrie!L22</f>
        <v>0</v>
      </c>
      <c r="N43" s="688">
        <f>industrie!M22</f>
        <v>0</v>
      </c>
      <c r="O43" s="688">
        <f>industrie!N22</f>
        <v>0</v>
      </c>
      <c r="P43" s="688">
        <f>industrie!O22</f>
        <v>0</v>
      </c>
      <c r="Q43" s="763">
        <f>industrie!P22</f>
        <v>0</v>
      </c>
      <c r="R43" s="843">
        <f t="shared" ca="1" si="4"/>
        <v>2263.9981774069165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6741.245767749785</v>
      </c>
      <c r="D46" s="721">
        <f t="shared" ref="D46:Q46" ca="1" si="5">SUM(D39:D45)</f>
        <v>0</v>
      </c>
      <c r="E46" s="721">
        <f t="shared" ca="1" si="5"/>
        <v>5365.5950258125113</v>
      </c>
      <c r="F46" s="721">
        <f t="shared" si="5"/>
        <v>770.79193866121614</v>
      </c>
      <c r="G46" s="721">
        <f t="shared" ca="1" si="5"/>
        <v>5991.9424868863953</v>
      </c>
      <c r="H46" s="721">
        <f t="shared" si="5"/>
        <v>0</v>
      </c>
      <c r="I46" s="721">
        <f t="shared" si="5"/>
        <v>0</v>
      </c>
      <c r="J46" s="721">
        <f t="shared" si="5"/>
        <v>0</v>
      </c>
      <c r="K46" s="721">
        <f t="shared" si="5"/>
        <v>1091.5469020134969</v>
      </c>
      <c r="L46" s="721">
        <f t="shared" si="5"/>
        <v>0</v>
      </c>
      <c r="M46" s="721">
        <f t="shared" ca="1" si="5"/>
        <v>0</v>
      </c>
      <c r="N46" s="721">
        <f t="shared" si="5"/>
        <v>0</v>
      </c>
      <c r="O46" s="721">
        <f t="shared" ca="1" si="5"/>
        <v>0</v>
      </c>
      <c r="P46" s="721">
        <f t="shared" si="5"/>
        <v>0</v>
      </c>
      <c r="Q46" s="721">
        <f t="shared" si="5"/>
        <v>0</v>
      </c>
      <c r="R46" s="721">
        <f ca="1">SUM(R39:R45)</f>
        <v>19961.122121123408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149.83315349897157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149.83315349897157</v>
      </c>
    </row>
    <row r="50" spans="1:18">
      <c r="A50" s="819" t="s">
        <v>307</v>
      </c>
      <c r="B50" s="829"/>
      <c r="C50" s="1008">
        <f ca="1">transport!B18</f>
        <v>0.27699494265528146</v>
      </c>
      <c r="D50" s="1008">
        <f>transport!C18</f>
        <v>0</v>
      </c>
      <c r="E50" s="1008">
        <f>transport!D18</f>
        <v>0.68819483478711652</v>
      </c>
      <c r="F50" s="1008">
        <f>transport!E18</f>
        <v>45.341874946835652</v>
      </c>
      <c r="G50" s="1008">
        <f>transport!F18</f>
        <v>0</v>
      </c>
      <c r="H50" s="1008">
        <f>transport!G18</f>
        <v>11363.61875613703</v>
      </c>
      <c r="I50" s="1008">
        <f>transport!H18</f>
        <v>1895.7725711508724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13305.69839201218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0.27699494265528146</v>
      </c>
      <c r="D52" s="721">
        <f t="shared" ref="D52:Q52" ca="1" si="6">SUM(D48:D51)</f>
        <v>0</v>
      </c>
      <c r="E52" s="721">
        <f t="shared" si="6"/>
        <v>0.68819483478711652</v>
      </c>
      <c r="F52" s="721">
        <f t="shared" si="6"/>
        <v>45.341874946835652</v>
      </c>
      <c r="G52" s="721">
        <f t="shared" si="6"/>
        <v>0</v>
      </c>
      <c r="H52" s="721">
        <f t="shared" si="6"/>
        <v>11513.451909636002</v>
      </c>
      <c r="I52" s="721">
        <f t="shared" si="6"/>
        <v>1895.7725711508724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13455.531545511152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504.25685480269141</v>
      </c>
      <c r="D54" s="1008">
        <f ca="1">+landbouw!C12</f>
        <v>0</v>
      </c>
      <c r="E54" s="1008">
        <f>+landbouw!D12</f>
        <v>9.3215593551291231</v>
      </c>
      <c r="F54" s="1008">
        <f>+landbouw!E12</f>
        <v>5.1141977776348373</v>
      </c>
      <c r="G54" s="1008">
        <f>+landbouw!F12</f>
        <v>2083.7344590004127</v>
      </c>
      <c r="H54" s="1008">
        <f>+landbouw!G12</f>
        <v>0</v>
      </c>
      <c r="I54" s="1008">
        <f>+landbouw!H12</f>
        <v>0</v>
      </c>
      <c r="J54" s="1008">
        <f>+landbouw!I12</f>
        <v>0</v>
      </c>
      <c r="K54" s="1008">
        <f>+landbouw!J12</f>
        <v>104.72730026839007</v>
      </c>
      <c r="L54" s="1008">
        <f>+landbouw!K12</f>
        <v>0</v>
      </c>
      <c r="M54" s="1008">
        <f>+landbouw!L12</f>
        <v>0</v>
      </c>
      <c r="N54" s="1008">
        <f>+landbouw!M12</f>
        <v>0</v>
      </c>
      <c r="O54" s="1008">
        <f>+landbouw!N12</f>
        <v>0</v>
      </c>
      <c r="P54" s="1008">
        <f>+landbouw!O12</f>
        <v>0</v>
      </c>
      <c r="Q54" s="1009">
        <f>+landbouw!P12</f>
        <v>0</v>
      </c>
      <c r="R54" s="720">
        <f ca="1">SUM(C54:Q54)</f>
        <v>2707.154371204258</v>
      </c>
    </row>
    <row r="55" spans="1:18" ht="15" thickBot="1">
      <c r="A55" s="819" t="s">
        <v>912</v>
      </c>
      <c r="B55" s="829"/>
      <c r="C55" s="1008">
        <f ca="1">C25*'EF ele_warmte'!B12</f>
        <v>175.48242666958268</v>
      </c>
      <c r="D55" s="1008"/>
      <c r="E55" s="1008">
        <f>E25*EF_CO2_aardgas</f>
        <v>154.26391508859246</v>
      </c>
      <c r="F55" s="1008"/>
      <c r="G55" s="1008"/>
      <c r="H55" s="1008"/>
      <c r="I55" s="1008"/>
      <c r="J55" s="1008"/>
      <c r="K55" s="1008"/>
      <c r="L55" s="1008"/>
      <c r="M55" s="1008"/>
      <c r="N55" s="1008"/>
      <c r="O55" s="1008"/>
      <c r="P55" s="1008"/>
      <c r="Q55" s="1009"/>
      <c r="R55" s="720">
        <f ca="1">SUM(C55:Q55)</f>
        <v>329.74634175817516</v>
      </c>
    </row>
    <row r="56" spans="1:18" ht="15.75" thickBot="1">
      <c r="A56" s="817" t="s">
        <v>913</v>
      </c>
      <c r="B56" s="830"/>
      <c r="C56" s="721">
        <f ca="1">SUM(C54:C55)</f>
        <v>679.73928147227412</v>
      </c>
      <c r="D56" s="721">
        <f t="shared" ref="D56:Q56" ca="1" si="7">SUM(D54:D55)</f>
        <v>0</v>
      </c>
      <c r="E56" s="721">
        <f t="shared" si="7"/>
        <v>163.58547444372158</v>
      </c>
      <c r="F56" s="721">
        <f t="shared" si="7"/>
        <v>5.1141977776348373</v>
      </c>
      <c r="G56" s="721">
        <f t="shared" si="7"/>
        <v>2083.7344590004127</v>
      </c>
      <c r="H56" s="721">
        <f t="shared" si="7"/>
        <v>0</v>
      </c>
      <c r="I56" s="721">
        <f t="shared" si="7"/>
        <v>0</v>
      </c>
      <c r="J56" s="721">
        <f t="shared" si="7"/>
        <v>0</v>
      </c>
      <c r="K56" s="721">
        <f t="shared" si="7"/>
        <v>104.72730026839007</v>
      </c>
      <c r="L56" s="721">
        <f t="shared" si="7"/>
        <v>0</v>
      </c>
      <c r="M56" s="721">
        <f t="shared" si="7"/>
        <v>0</v>
      </c>
      <c r="N56" s="721">
        <f t="shared" si="7"/>
        <v>0</v>
      </c>
      <c r="O56" s="721">
        <f t="shared" si="7"/>
        <v>0</v>
      </c>
      <c r="P56" s="721">
        <f t="shared" si="7"/>
        <v>0</v>
      </c>
      <c r="Q56" s="722">
        <f t="shared" si="7"/>
        <v>0</v>
      </c>
      <c r="R56" s="723">
        <f ca="1">SUM(R54:R55)</f>
        <v>3036.9007129624333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7421.262044164715</v>
      </c>
      <c r="D61" s="729">
        <f t="shared" ref="D61:Q61" ca="1" si="8">D46+D52+D56</f>
        <v>0</v>
      </c>
      <c r="E61" s="729">
        <f t="shared" ca="1" si="8"/>
        <v>5529.8686950910205</v>
      </c>
      <c r="F61" s="729">
        <f t="shared" si="8"/>
        <v>821.2480113856866</v>
      </c>
      <c r="G61" s="729">
        <f t="shared" ca="1" si="8"/>
        <v>8075.6769458868075</v>
      </c>
      <c r="H61" s="729">
        <f t="shared" si="8"/>
        <v>11513.451909636002</v>
      </c>
      <c r="I61" s="729">
        <f t="shared" si="8"/>
        <v>1895.7725711508724</v>
      </c>
      <c r="J61" s="729">
        <f t="shared" si="8"/>
        <v>0</v>
      </c>
      <c r="K61" s="729">
        <f t="shared" si="8"/>
        <v>1196.274202281887</v>
      </c>
      <c r="L61" s="729">
        <f t="shared" si="8"/>
        <v>0</v>
      </c>
      <c r="M61" s="729">
        <f t="shared" ca="1" si="8"/>
        <v>0</v>
      </c>
      <c r="N61" s="729">
        <f t="shared" si="8"/>
        <v>0</v>
      </c>
      <c r="O61" s="729">
        <f t="shared" ca="1" si="8"/>
        <v>0</v>
      </c>
      <c r="P61" s="729">
        <f t="shared" si="8"/>
        <v>0</v>
      </c>
      <c r="Q61" s="729">
        <f t="shared" si="8"/>
        <v>0</v>
      </c>
      <c r="R61" s="729">
        <f ca="1">R46+R52+R56</f>
        <v>36453.554379597001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0.21085404685666456</v>
      </c>
      <c r="D63" s="773">
        <f t="shared" ca="1" si="9"/>
        <v>0</v>
      </c>
      <c r="E63" s="1010">
        <f t="shared" ca="1" si="9"/>
        <v>0.20200000000000004</v>
      </c>
      <c r="F63" s="773">
        <f t="shared" si="9"/>
        <v>0.22699999999999998</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1611.8645623082912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3.9681818181818178</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4.6684491978609612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1615.832744126473</v>
      </c>
      <c r="C78" s="744">
        <f>SUM(C72:C77)</f>
        <v>0</v>
      </c>
      <c r="D78" s="745">
        <f t="shared" ref="D78:H78" si="10">SUM(D76:D77)</f>
        <v>0</v>
      </c>
      <c r="E78" s="745">
        <f t="shared" si="10"/>
        <v>0</v>
      </c>
      <c r="F78" s="745">
        <f t="shared" si="10"/>
        <v>0</v>
      </c>
      <c r="G78" s="745">
        <f t="shared" si="10"/>
        <v>0</v>
      </c>
      <c r="H78" s="745">
        <f t="shared" si="10"/>
        <v>0</v>
      </c>
      <c r="I78" s="745">
        <f>SUM(I76:I77)</f>
        <v>0</v>
      </c>
      <c r="J78" s="745">
        <f>SUM(J76:J77)</f>
        <v>4.6684491978609612</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5.6688311688311686</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6.6692131398013741</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5.6688311688311686</v>
      </c>
      <c r="C90" s="744">
        <f>SUM(C87:C89)</f>
        <v>0</v>
      </c>
      <c r="D90" s="744">
        <f t="shared" ref="D90:H90" si="12">SUM(D87:D89)</f>
        <v>0</v>
      </c>
      <c r="E90" s="744">
        <f t="shared" si="12"/>
        <v>0</v>
      </c>
      <c r="F90" s="744">
        <f t="shared" si="12"/>
        <v>0</v>
      </c>
      <c r="G90" s="744">
        <f t="shared" si="12"/>
        <v>0</v>
      </c>
      <c r="H90" s="744">
        <f t="shared" si="12"/>
        <v>0</v>
      </c>
      <c r="I90" s="744">
        <f>SUM(I87:I89)</f>
        <v>0</v>
      </c>
      <c r="J90" s="744">
        <f>SUM(J87:J89)</f>
        <v>6.6692131398013741</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1611.8645623082912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3.9681818181818178</v>
      </c>
      <c r="C8" s="558">
        <f>B101</f>
        <v>0</v>
      </c>
      <c r="D8" s="991"/>
      <c r="E8" s="991">
        <f>E101</f>
        <v>0</v>
      </c>
      <c r="F8" s="992"/>
      <c r="G8" s="559"/>
      <c r="H8" s="991">
        <f>I101</f>
        <v>0</v>
      </c>
      <c r="I8" s="991">
        <f>G101+F101</f>
        <v>0</v>
      </c>
      <c r="J8" s="991">
        <f>H101+D101+C101</f>
        <v>4.6684491978609612</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1615.832744126473</v>
      </c>
      <c r="C10" s="570">
        <f t="shared" ref="C10:L10" si="0">SUM(C8:C9)</f>
        <v>0</v>
      </c>
      <c r="D10" s="570">
        <f t="shared" si="0"/>
        <v>0</v>
      </c>
      <c r="E10" s="570">
        <f t="shared" si="0"/>
        <v>0</v>
      </c>
      <c r="F10" s="570">
        <f t="shared" si="0"/>
        <v>0</v>
      </c>
      <c r="G10" s="570">
        <f t="shared" si="0"/>
        <v>0</v>
      </c>
      <c r="H10" s="570">
        <f t="shared" si="0"/>
        <v>0</v>
      </c>
      <c r="I10" s="570">
        <f t="shared" si="0"/>
        <v>0</v>
      </c>
      <c r="J10" s="570">
        <f t="shared" si="0"/>
        <v>4.6684491978609612</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5.6688311688311686</v>
      </c>
      <c r="C17" s="582">
        <f>B102</f>
        <v>0</v>
      </c>
      <c r="D17" s="583"/>
      <c r="E17" s="583">
        <f>E102</f>
        <v>0</v>
      </c>
      <c r="F17" s="584"/>
      <c r="G17" s="585"/>
      <c r="H17" s="582">
        <f>I102</f>
        <v>0</v>
      </c>
      <c r="I17" s="583">
        <f>G102+F102</f>
        <v>0</v>
      </c>
      <c r="J17" s="583">
        <f>H102+D102+C102</f>
        <v>6.6692131398013741</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5.6688311688311686</v>
      </c>
      <c r="C20" s="569">
        <f>SUM(C17:C19)</f>
        <v>0</v>
      </c>
      <c r="D20" s="569">
        <f t="shared" ref="D20:L20" si="1">SUM(D17:D19)</f>
        <v>0</v>
      </c>
      <c r="E20" s="569">
        <f t="shared" si="1"/>
        <v>0</v>
      </c>
      <c r="F20" s="569">
        <f t="shared" si="1"/>
        <v>0</v>
      </c>
      <c r="G20" s="569">
        <f t="shared" si="1"/>
        <v>0</v>
      </c>
      <c r="H20" s="569">
        <f t="shared" si="1"/>
        <v>0</v>
      </c>
      <c r="I20" s="569">
        <f t="shared" si="1"/>
        <v>0</v>
      </c>
      <c r="J20" s="569">
        <f t="shared" si="1"/>
        <v>6.6692131398013741</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44029</v>
      </c>
      <c r="C28" s="789">
        <v>9910</v>
      </c>
      <c r="D28" s="642" t="s">
        <v>948</v>
      </c>
      <c r="E28" s="641" t="s">
        <v>949</v>
      </c>
      <c r="F28" s="641" t="s">
        <v>950</v>
      </c>
      <c r="G28" s="641" t="s">
        <v>951</v>
      </c>
      <c r="H28" s="641" t="s">
        <v>952</v>
      </c>
      <c r="I28" s="641" t="s">
        <v>949</v>
      </c>
      <c r="J28" s="788">
        <v>41117</v>
      </c>
      <c r="K28" s="788">
        <v>41214</v>
      </c>
      <c r="L28" s="641" t="s">
        <v>953</v>
      </c>
      <c r="M28" s="641">
        <v>9.6999999999999993</v>
      </c>
      <c r="N28" s="641">
        <v>3.9681818181818178</v>
      </c>
      <c r="O28" s="641">
        <v>5.6688311688311686</v>
      </c>
      <c r="P28" s="641">
        <v>0</v>
      </c>
      <c r="Q28" s="641">
        <v>11.337662337662337</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3.9681818181818178</v>
      </c>
      <c r="O58" s="599">
        <f t="shared" ref="O58:W58" si="2">SUM(O28:O57)</f>
        <v>5.6688311688311686</v>
      </c>
      <c r="P58" s="599">
        <f t="shared" si="2"/>
        <v>0</v>
      </c>
      <c r="Q58" s="599">
        <f t="shared" si="2"/>
        <v>11.337662337662337</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3.9681818181818178</v>
      </c>
      <c r="O61" s="604">
        <f t="shared" si="4"/>
        <v>5.6688311688311686</v>
      </c>
      <c r="P61" s="604">
        <f t="shared" si="4"/>
        <v>0</v>
      </c>
      <c r="Q61" s="604">
        <f t="shared" si="4"/>
        <v>11.337662337662337</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0.41176470588235287</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4.6684491978609612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6.6692131398013741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18409.222488141691</v>
      </c>
      <c r="C4" s="461">
        <f>huishoudens!C8</f>
        <v>0</v>
      </c>
      <c r="D4" s="461">
        <f>huishoudens!D8</f>
        <v>19795.479881091487</v>
      </c>
      <c r="E4" s="461">
        <f>huishoudens!E8</f>
        <v>3181.5095821246455</v>
      </c>
      <c r="F4" s="461">
        <f>huishoudens!F8</f>
        <v>19392.46232613947</v>
      </c>
      <c r="G4" s="461">
        <f>huishoudens!G8</f>
        <v>0</v>
      </c>
      <c r="H4" s="461">
        <f>huishoudens!H8</f>
        <v>0</v>
      </c>
      <c r="I4" s="461">
        <f>huishoudens!I8</f>
        <v>0</v>
      </c>
      <c r="J4" s="461">
        <f>huishoudens!J8</f>
        <v>3079.965036979384</v>
      </c>
      <c r="K4" s="461">
        <f>huishoudens!K8</f>
        <v>0</v>
      </c>
      <c r="L4" s="461">
        <f>huishoudens!L8</f>
        <v>0</v>
      </c>
      <c r="M4" s="461">
        <f>huishoudens!M8</f>
        <v>0</v>
      </c>
      <c r="N4" s="461">
        <f>huishoudens!N8</f>
        <v>15867.134179126177</v>
      </c>
      <c r="O4" s="461">
        <f>huishoudens!O8</f>
        <v>56.280000000000008</v>
      </c>
      <c r="P4" s="462">
        <f>huishoudens!P8</f>
        <v>171.6</v>
      </c>
      <c r="Q4" s="463">
        <f>SUM(B4:P4)</f>
        <v>79953.653493602862</v>
      </c>
    </row>
    <row r="5" spans="1:17">
      <c r="A5" s="460" t="s">
        <v>156</v>
      </c>
      <c r="B5" s="461">
        <f ca="1">tertiair!B16</f>
        <v>5965.1969937116264</v>
      </c>
      <c r="C5" s="461">
        <f ca="1">tertiair!C16</f>
        <v>0</v>
      </c>
      <c r="D5" s="461">
        <f ca="1">tertiair!D16</f>
        <v>5424.4113892709474</v>
      </c>
      <c r="E5" s="461">
        <f>tertiair!E16</f>
        <v>66.997907810865883</v>
      </c>
      <c r="F5" s="461">
        <f ca="1">tertiair!F16</f>
        <v>1232.1070940558589</v>
      </c>
      <c r="G5" s="461">
        <f>tertiair!G16</f>
        <v>0</v>
      </c>
      <c r="H5" s="461">
        <f>tertiair!H16</f>
        <v>0</v>
      </c>
      <c r="I5" s="461">
        <f>tertiair!I16</f>
        <v>0</v>
      </c>
      <c r="J5" s="461">
        <f>tertiair!J16</f>
        <v>0</v>
      </c>
      <c r="K5" s="461">
        <f>tertiair!K16</f>
        <v>0</v>
      </c>
      <c r="L5" s="461">
        <f ca="1">tertiair!L16</f>
        <v>0</v>
      </c>
      <c r="M5" s="461">
        <f>tertiair!M16</f>
        <v>0</v>
      </c>
      <c r="N5" s="461">
        <f ca="1">tertiair!N16</f>
        <v>515.25768725160765</v>
      </c>
      <c r="O5" s="461">
        <f>tertiair!O16</f>
        <v>0</v>
      </c>
      <c r="P5" s="462">
        <f>tertiair!P16</f>
        <v>0</v>
      </c>
      <c r="Q5" s="460">
        <f t="shared" ref="Q5:Q14" ca="1" si="0">SUM(B5:P5)</f>
        <v>13203.971072100905</v>
      </c>
    </row>
    <row r="6" spans="1:17">
      <c r="A6" s="460" t="s">
        <v>194</v>
      </c>
      <c r="B6" s="461">
        <f>'openbare verlichting'!B8</f>
        <v>610.76400000000001</v>
      </c>
      <c r="C6" s="461"/>
      <c r="D6" s="461"/>
      <c r="E6" s="461"/>
      <c r="F6" s="461"/>
      <c r="G6" s="461"/>
      <c r="H6" s="461"/>
      <c r="I6" s="461"/>
      <c r="J6" s="461"/>
      <c r="K6" s="461"/>
      <c r="L6" s="461"/>
      <c r="M6" s="461"/>
      <c r="N6" s="461"/>
      <c r="O6" s="461"/>
      <c r="P6" s="462"/>
      <c r="Q6" s="460">
        <f t="shared" si="0"/>
        <v>610.76400000000001</v>
      </c>
    </row>
    <row r="7" spans="1:17">
      <c r="A7" s="460" t="s">
        <v>112</v>
      </c>
      <c r="B7" s="461">
        <f>landbouw!B8</f>
        <v>2391.4971627055265</v>
      </c>
      <c r="C7" s="461">
        <f>landbouw!C8</f>
        <v>5.6688311688311686</v>
      </c>
      <c r="D7" s="461">
        <f>landbouw!D8</f>
        <v>46.146333441233281</v>
      </c>
      <c r="E7" s="461">
        <f>landbouw!E8</f>
        <v>22.529505628347302</v>
      </c>
      <c r="F7" s="461">
        <f>landbouw!F8</f>
        <v>7804.2489101139045</v>
      </c>
      <c r="G7" s="461">
        <f>landbouw!G8</f>
        <v>0</v>
      </c>
      <c r="H7" s="461">
        <f>landbouw!H8</f>
        <v>0</v>
      </c>
      <c r="I7" s="461">
        <f>landbouw!I8</f>
        <v>0</v>
      </c>
      <c r="J7" s="461">
        <f>landbouw!J8</f>
        <v>295.83983126663861</v>
      </c>
      <c r="K7" s="461">
        <f>landbouw!K8</f>
        <v>0</v>
      </c>
      <c r="L7" s="461">
        <f>landbouw!L8</f>
        <v>0</v>
      </c>
      <c r="M7" s="461">
        <f>landbouw!M8</f>
        <v>0</v>
      </c>
      <c r="N7" s="461">
        <f>landbouw!N8</f>
        <v>0</v>
      </c>
      <c r="O7" s="461">
        <f>landbouw!O8</f>
        <v>0</v>
      </c>
      <c r="P7" s="462">
        <f>landbouw!P8</f>
        <v>0</v>
      </c>
      <c r="Q7" s="460">
        <f t="shared" si="0"/>
        <v>10565.93057432448</v>
      </c>
    </row>
    <row r="8" spans="1:17">
      <c r="A8" s="460" t="s">
        <v>685</v>
      </c>
      <c r="B8" s="461">
        <f>industrie!B18</f>
        <v>6985.963708565012</v>
      </c>
      <c r="C8" s="461">
        <f>industrie!C18</f>
        <v>0</v>
      </c>
      <c r="D8" s="461">
        <f>industrie!D18</f>
        <v>1342.4603425707908</v>
      </c>
      <c r="E8" s="461">
        <f>industrie!E18</f>
        <v>147.05171121522045</v>
      </c>
      <c r="F8" s="461">
        <f>industrie!F18</f>
        <v>1817.1627404278711</v>
      </c>
      <c r="G8" s="461">
        <f>industrie!G18</f>
        <v>0</v>
      </c>
      <c r="H8" s="461">
        <f>industrie!H18</f>
        <v>0</v>
      </c>
      <c r="I8" s="461">
        <f>industrie!I18</f>
        <v>0</v>
      </c>
      <c r="J8" s="461">
        <f>industrie!J18</f>
        <v>3.5007879175003911</v>
      </c>
      <c r="K8" s="461">
        <f>industrie!K18</f>
        <v>0</v>
      </c>
      <c r="L8" s="461">
        <f>industrie!L18</f>
        <v>0</v>
      </c>
      <c r="M8" s="461">
        <f>industrie!M18</f>
        <v>0</v>
      </c>
      <c r="N8" s="461">
        <f>industrie!N18</f>
        <v>1401.0560049406311</v>
      </c>
      <c r="O8" s="461">
        <f>industrie!O18</f>
        <v>0</v>
      </c>
      <c r="P8" s="462">
        <f>industrie!P18</f>
        <v>0</v>
      </c>
      <c r="Q8" s="460">
        <f t="shared" si="0"/>
        <v>11697.195295637026</v>
      </c>
    </row>
    <row r="9" spans="1:17" s="466" customFormat="1">
      <c r="A9" s="464" t="s">
        <v>579</v>
      </c>
      <c r="B9" s="465">
        <f>transport!B14</f>
        <v>1.3136809408433054</v>
      </c>
      <c r="C9" s="465">
        <f>transport!C14</f>
        <v>0</v>
      </c>
      <c r="D9" s="465">
        <f>transport!D14</f>
        <v>3.4069051227084977</v>
      </c>
      <c r="E9" s="465">
        <f>transport!E14</f>
        <v>199.74394249707336</v>
      </c>
      <c r="F9" s="465">
        <f>transport!F14</f>
        <v>0</v>
      </c>
      <c r="G9" s="465">
        <f>transport!G14</f>
        <v>42560.369873172393</v>
      </c>
      <c r="H9" s="465">
        <f>transport!H14</f>
        <v>7613.5444624533029</v>
      </c>
      <c r="I9" s="465">
        <f>transport!I14</f>
        <v>0</v>
      </c>
      <c r="J9" s="465">
        <f>transport!J14</f>
        <v>0</v>
      </c>
      <c r="K9" s="465">
        <f>transport!K14</f>
        <v>0</v>
      </c>
      <c r="L9" s="465">
        <f>transport!L14</f>
        <v>0</v>
      </c>
      <c r="M9" s="465">
        <f>transport!M14</f>
        <v>2243.4948824603448</v>
      </c>
      <c r="N9" s="465">
        <f>transport!N14</f>
        <v>0</v>
      </c>
      <c r="O9" s="465">
        <f>transport!O14</f>
        <v>0</v>
      </c>
      <c r="P9" s="465">
        <f>transport!P14</f>
        <v>0</v>
      </c>
      <c r="Q9" s="464">
        <f>SUM(B9:P9)</f>
        <v>52621.873746646663</v>
      </c>
    </row>
    <row r="10" spans="1:17">
      <c r="A10" s="460" t="s">
        <v>569</v>
      </c>
      <c r="B10" s="461">
        <f>transport!B54</f>
        <v>0</v>
      </c>
      <c r="C10" s="461">
        <f>transport!C54</f>
        <v>0</v>
      </c>
      <c r="D10" s="461">
        <f>transport!D54</f>
        <v>0</v>
      </c>
      <c r="E10" s="461">
        <f>transport!E54</f>
        <v>0</v>
      </c>
      <c r="F10" s="461">
        <f>transport!F54</f>
        <v>0</v>
      </c>
      <c r="G10" s="461">
        <f>transport!G54</f>
        <v>561.17285954671001</v>
      </c>
      <c r="H10" s="461">
        <f>transport!H54</f>
        <v>0</v>
      </c>
      <c r="I10" s="461">
        <f>transport!I54</f>
        <v>0</v>
      </c>
      <c r="J10" s="461">
        <f>transport!J54</f>
        <v>0</v>
      </c>
      <c r="K10" s="461">
        <f>transport!K54</f>
        <v>0</v>
      </c>
      <c r="L10" s="461">
        <f>transport!L54</f>
        <v>0</v>
      </c>
      <c r="M10" s="461">
        <f>transport!M54</f>
        <v>24.64202597523219</v>
      </c>
      <c r="N10" s="461">
        <f>transport!N54</f>
        <v>0</v>
      </c>
      <c r="O10" s="461">
        <f>transport!O54</f>
        <v>0</v>
      </c>
      <c r="P10" s="462">
        <f>transport!P54</f>
        <v>0</v>
      </c>
      <c r="Q10" s="460">
        <f t="shared" si="0"/>
        <v>585.81488552194219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832.24595062608898</v>
      </c>
      <c r="C14" s="468"/>
      <c r="D14" s="468">
        <f>'SEAP template'!E25</f>
        <v>763.68274796332901</v>
      </c>
      <c r="E14" s="468"/>
      <c r="F14" s="468"/>
      <c r="G14" s="468"/>
      <c r="H14" s="468"/>
      <c r="I14" s="468"/>
      <c r="J14" s="468"/>
      <c r="K14" s="468"/>
      <c r="L14" s="468"/>
      <c r="M14" s="468"/>
      <c r="N14" s="468"/>
      <c r="O14" s="468"/>
      <c r="P14" s="469"/>
      <c r="Q14" s="460">
        <f t="shared" si="0"/>
        <v>1595.928698589418</v>
      </c>
    </row>
    <row r="15" spans="1:17" s="473" customFormat="1">
      <c r="A15" s="470" t="s">
        <v>573</v>
      </c>
      <c r="B15" s="471">
        <f ca="1">SUM(B4:B14)</f>
        <v>35196.203984690786</v>
      </c>
      <c r="C15" s="471">
        <f t="shared" ref="C15:Q15" ca="1" si="1">SUM(C4:C14)</f>
        <v>5.6688311688311686</v>
      </c>
      <c r="D15" s="471">
        <f t="shared" ca="1" si="1"/>
        <v>27375.587599460494</v>
      </c>
      <c r="E15" s="471">
        <f t="shared" si="1"/>
        <v>3617.8326492761526</v>
      </c>
      <c r="F15" s="471">
        <f t="shared" ca="1" si="1"/>
        <v>30245.981070737103</v>
      </c>
      <c r="G15" s="471">
        <f t="shared" si="1"/>
        <v>43121.542732719099</v>
      </c>
      <c r="H15" s="471">
        <f t="shared" si="1"/>
        <v>7613.5444624533029</v>
      </c>
      <c r="I15" s="471">
        <f t="shared" si="1"/>
        <v>0</v>
      </c>
      <c r="J15" s="471">
        <f t="shared" si="1"/>
        <v>3379.3056561635231</v>
      </c>
      <c r="K15" s="471">
        <f t="shared" si="1"/>
        <v>0</v>
      </c>
      <c r="L15" s="471">
        <f t="shared" ca="1" si="1"/>
        <v>0</v>
      </c>
      <c r="M15" s="471">
        <f t="shared" si="1"/>
        <v>2268.136908435577</v>
      </c>
      <c r="N15" s="471">
        <f t="shared" ca="1" si="1"/>
        <v>17783.447871318414</v>
      </c>
      <c r="O15" s="471">
        <f t="shared" si="1"/>
        <v>56.280000000000008</v>
      </c>
      <c r="P15" s="471">
        <f t="shared" si="1"/>
        <v>171.6</v>
      </c>
      <c r="Q15" s="471">
        <f t="shared" ca="1" si="1"/>
        <v>170835.13176642329</v>
      </c>
    </row>
    <row r="17" spans="1:17">
      <c r="A17" s="474" t="s">
        <v>574</v>
      </c>
      <c r="B17" s="778">
        <f ca="1">huishoudens!B10</f>
        <v>0.21085404685666453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3881.6590611093907</v>
      </c>
      <c r="C22" s="461">
        <f t="shared" ref="C22:C32" ca="1" si="3">C4*$C$17</f>
        <v>0</v>
      </c>
      <c r="D22" s="461">
        <f t="shared" ref="D22:D32" si="4">D4*$D$17</f>
        <v>3998.6869359804805</v>
      </c>
      <c r="E22" s="461">
        <f t="shared" ref="E22:E32" si="5">E4*$E$17</f>
        <v>722.20267514229454</v>
      </c>
      <c r="F22" s="461">
        <f t="shared" ref="F22:F32" si="6">F4*$F$17</f>
        <v>5177.7874410792392</v>
      </c>
      <c r="G22" s="461">
        <f t="shared" ref="G22:G32" si="7">G4*$G$17</f>
        <v>0</v>
      </c>
      <c r="H22" s="461">
        <f t="shared" ref="H22:H32" si="8">H4*$H$17</f>
        <v>0</v>
      </c>
      <c r="I22" s="461">
        <f t="shared" ref="I22:I32" si="9">I4*$I$17</f>
        <v>0</v>
      </c>
      <c r="J22" s="461">
        <f t="shared" ref="J22:J32" si="10">J4*$J$17</f>
        <v>1090.3076230907018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14870.643736402108</v>
      </c>
    </row>
    <row r="23" spans="1:17">
      <c r="A23" s="460" t="s">
        <v>156</v>
      </c>
      <c r="B23" s="461">
        <f t="shared" ca="1" si="2"/>
        <v>1257.7859264213057</v>
      </c>
      <c r="C23" s="461">
        <f t="shared" ca="1" si="3"/>
        <v>0</v>
      </c>
      <c r="D23" s="461">
        <f t="shared" ca="1" si="4"/>
        <v>1095.7311006327313</v>
      </c>
      <c r="E23" s="461">
        <f t="shared" si="5"/>
        <v>15.208525073066555</v>
      </c>
      <c r="F23" s="461">
        <f t="shared" ca="1" si="6"/>
        <v>328.97259411291435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2697.6981462400181</v>
      </c>
    </row>
    <row r="24" spans="1:17">
      <c r="A24" s="460" t="s">
        <v>194</v>
      </c>
      <c r="B24" s="461">
        <f t="shared" ca="1" si="2"/>
        <v>128.78206107436387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128.78206107436387</v>
      </c>
    </row>
    <row r="25" spans="1:17">
      <c r="A25" s="460" t="s">
        <v>112</v>
      </c>
      <c r="B25" s="461">
        <f t="shared" ca="1" si="2"/>
        <v>504.25685480269141</v>
      </c>
      <c r="C25" s="461">
        <f t="shared" ca="1" si="3"/>
        <v>0</v>
      </c>
      <c r="D25" s="461">
        <f t="shared" si="4"/>
        <v>9.3215593551291231</v>
      </c>
      <c r="E25" s="461">
        <f t="shared" si="5"/>
        <v>5.1141977776348373</v>
      </c>
      <c r="F25" s="461">
        <f t="shared" si="6"/>
        <v>2083.7344590004127</v>
      </c>
      <c r="G25" s="461">
        <f t="shared" si="7"/>
        <v>0</v>
      </c>
      <c r="H25" s="461">
        <f t="shared" si="8"/>
        <v>0</v>
      </c>
      <c r="I25" s="461">
        <f t="shared" si="9"/>
        <v>0</v>
      </c>
      <c r="J25" s="461">
        <f t="shared" si="10"/>
        <v>104.72730026839007</v>
      </c>
      <c r="K25" s="461">
        <f t="shared" si="11"/>
        <v>0</v>
      </c>
      <c r="L25" s="461">
        <f t="shared" si="12"/>
        <v>0</v>
      </c>
      <c r="M25" s="461">
        <f t="shared" si="13"/>
        <v>0</v>
      </c>
      <c r="N25" s="461">
        <f t="shared" si="14"/>
        <v>0</v>
      </c>
      <c r="O25" s="461">
        <f t="shared" si="15"/>
        <v>0</v>
      </c>
      <c r="P25" s="462">
        <f t="shared" si="16"/>
        <v>0</v>
      </c>
      <c r="Q25" s="460">
        <f t="shared" ca="1" si="17"/>
        <v>2707.154371204258</v>
      </c>
    </row>
    <row r="26" spans="1:17">
      <c r="A26" s="460" t="s">
        <v>685</v>
      </c>
      <c r="B26" s="461">
        <f t="shared" ca="1" si="2"/>
        <v>1473.0187191447251</v>
      </c>
      <c r="C26" s="461">
        <f t="shared" ca="1" si="3"/>
        <v>0</v>
      </c>
      <c r="D26" s="461">
        <f t="shared" si="4"/>
        <v>271.17698919929973</v>
      </c>
      <c r="E26" s="461">
        <f t="shared" si="5"/>
        <v>33.380738445855044</v>
      </c>
      <c r="F26" s="461">
        <f t="shared" si="6"/>
        <v>485.18245169424159</v>
      </c>
      <c r="G26" s="461">
        <f t="shared" si="7"/>
        <v>0</v>
      </c>
      <c r="H26" s="461">
        <f t="shared" si="8"/>
        <v>0</v>
      </c>
      <c r="I26" s="461">
        <f t="shared" si="9"/>
        <v>0</v>
      </c>
      <c r="J26" s="461">
        <f t="shared" si="10"/>
        <v>1.2392789227951384</v>
      </c>
      <c r="K26" s="461">
        <f t="shared" si="11"/>
        <v>0</v>
      </c>
      <c r="L26" s="461">
        <f t="shared" si="12"/>
        <v>0</v>
      </c>
      <c r="M26" s="461">
        <f t="shared" si="13"/>
        <v>0</v>
      </c>
      <c r="N26" s="461">
        <f t="shared" si="14"/>
        <v>0</v>
      </c>
      <c r="O26" s="461">
        <f t="shared" si="15"/>
        <v>0</v>
      </c>
      <c r="P26" s="462">
        <f t="shared" si="16"/>
        <v>0</v>
      </c>
      <c r="Q26" s="460">
        <f t="shared" ca="1" si="17"/>
        <v>2263.9981774069165</v>
      </c>
    </row>
    <row r="27" spans="1:17" s="466" customFormat="1">
      <c r="A27" s="464" t="s">
        <v>579</v>
      </c>
      <c r="B27" s="772">
        <f t="shared" ca="1" si="2"/>
        <v>0.27699494265528146</v>
      </c>
      <c r="C27" s="465">
        <f t="shared" ca="1" si="3"/>
        <v>0</v>
      </c>
      <c r="D27" s="465">
        <f t="shared" si="4"/>
        <v>0.68819483478711652</v>
      </c>
      <c r="E27" s="465">
        <f t="shared" si="5"/>
        <v>45.341874946835652</v>
      </c>
      <c r="F27" s="465">
        <f t="shared" si="6"/>
        <v>0</v>
      </c>
      <c r="G27" s="465">
        <f t="shared" si="7"/>
        <v>11363.61875613703</v>
      </c>
      <c r="H27" s="465">
        <f t="shared" si="8"/>
        <v>1895.7725711508724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13305.69839201218</v>
      </c>
    </row>
    <row r="28" spans="1:17">
      <c r="A28" s="460" t="s">
        <v>569</v>
      </c>
      <c r="B28" s="461">
        <f t="shared" ca="1" si="2"/>
        <v>0</v>
      </c>
      <c r="C28" s="461">
        <f t="shared" ca="1" si="3"/>
        <v>0</v>
      </c>
      <c r="D28" s="461">
        <f t="shared" si="4"/>
        <v>0</v>
      </c>
      <c r="E28" s="461">
        <f t="shared" si="5"/>
        <v>0</v>
      </c>
      <c r="F28" s="461">
        <f t="shared" si="6"/>
        <v>0</v>
      </c>
      <c r="G28" s="461">
        <f t="shared" si="7"/>
        <v>149.83315349897157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149.83315349897157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175.48242666958268</v>
      </c>
      <c r="C32" s="461">
        <f t="shared" ca="1" si="3"/>
        <v>0</v>
      </c>
      <c r="D32" s="461">
        <f t="shared" si="4"/>
        <v>154.26391508859246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329.74634175817516</v>
      </c>
    </row>
    <row r="33" spans="1:17" s="473" customFormat="1">
      <c r="A33" s="470" t="s">
        <v>573</v>
      </c>
      <c r="B33" s="471">
        <f ca="1">SUM(B22:B32)</f>
        <v>7421.2620441647141</v>
      </c>
      <c r="C33" s="471">
        <f t="shared" ref="C33:Q33" ca="1" si="18">SUM(C22:C32)</f>
        <v>0</v>
      </c>
      <c r="D33" s="471">
        <f t="shared" ca="1" si="18"/>
        <v>5529.8686950910205</v>
      </c>
      <c r="E33" s="471">
        <f t="shared" si="18"/>
        <v>821.2480113856866</v>
      </c>
      <c r="F33" s="471">
        <f t="shared" ca="1" si="18"/>
        <v>8075.6769458868075</v>
      </c>
      <c r="G33" s="471">
        <f t="shared" si="18"/>
        <v>11513.451909636002</v>
      </c>
      <c r="H33" s="471">
        <f t="shared" si="18"/>
        <v>1895.7725711508724</v>
      </c>
      <c r="I33" s="471">
        <f t="shared" si="18"/>
        <v>0</v>
      </c>
      <c r="J33" s="471">
        <f t="shared" si="18"/>
        <v>1196.274202281887</v>
      </c>
      <c r="K33" s="471">
        <f t="shared" si="18"/>
        <v>0</v>
      </c>
      <c r="L33" s="471">
        <f t="shared" ca="1" si="18"/>
        <v>0</v>
      </c>
      <c r="M33" s="471">
        <f t="shared" si="18"/>
        <v>0</v>
      </c>
      <c r="N33" s="471">
        <f t="shared" ca="1" si="18"/>
        <v>0</v>
      </c>
      <c r="O33" s="471">
        <f t="shared" si="18"/>
        <v>0</v>
      </c>
      <c r="P33" s="471">
        <f t="shared" si="18"/>
        <v>0</v>
      </c>
      <c r="Q33" s="471">
        <f t="shared" ca="1" si="18"/>
        <v>36453.554379596993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1611.8645623082912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3.9681818181818178</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4.6684491978609612</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1615.832744126473</v>
      </c>
      <c r="C10" s="1041">
        <f>SUM(C4:C9)</f>
        <v>0</v>
      </c>
      <c r="D10" s="1041">
        <f t="shared" ref="D10:H10" si="0">SUM(D8:D9)</f>
        <v>0</v>
      </c>
      <c r="E10" s="1041">
        <f t="shared" si="0"/>
        <v>0</v>
      </c>
      <c r="F10" s="1041">
        <f t="shared" si="0"/>
        <v>0</v>
      </c>
      <c r="G10" s="1041">
        <f t="shared" si="0"/>
        <v>0</v>
      </c>
      <c r="H10" s="1041">
        <f t="shared" si="0"/>
        <v>0</v>
      </c>
      <c r="I10" s="1041">
        <f>SUM(I8:I9)</f>
        <v>0</v>
      </c>
      <c r="J10" s="1041">
        <f>SUM(J8:J9)</f>
        <v>4.6684491978609612</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0.21085404685666453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5.6688311688311686</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6.6692131398013741</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5.6688311688311686</v>
      </c>
      <c r="C20" s="1041">
        <f>SUM(C17:C19)</f>
        <v>0</v>
      </c>
      <c r="D20" s="1041">
        <f t="shared" ref="D20:H20" si="2">SUM(D17:D19)</f>
        <v>0</v>
      </c>
      <c r="E20" s="1041">
        <f t="shared" si="2"/>
        <v>0</v>
      </c>
      <c r="F20" s="1041">
        <f t="shared" si="2"/>
        <v>0</v>
      </c>
      <c r="G20" s="1041">
        <f t="shared" si="2"/>
        <v>0</v>
      </c>
      <c r="H20" s="1041">
        <f t="shared" si="2"/>
        <v>0</v>
      </c>
      <c r="I20" s="1041">
        <f>SUM(I17:I19)</f>
        <v>0</v>
      </c>
      <c r="J20" s="1041">
        <f>SUM(J17:J19)</f>
        <v>6.6692131398013741</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0.21085404685666453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2019-08-12T07:55:40Z</dcterms:modified>
</cp:coreProperties>
</file>