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B1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K78" i="14"/>
  <c r="K8" i="56"/>
  <c r="K10" s="1"/>
  <c r="O78" i="14"/>
  <c r="O9" i="56"/>
  <c r="C77" i="14"/>
  <c r="C9" i="56" s="1"/>
  <c r="D9"/>
  <c r="D10" s="1"/>
  <c r="Q88" i="14"/>
  <c r="P18" i="56" s="1"/>
  <c r="D18"/>
  <c r="L78" i="14"/>
  <c r="G78"/>
  <c r="Q89"/>
  <c r="P19" i="56" s="1"/>
  <c r="I87" i="14"/>
  <c r="I17" i="56" s="1"/>
  <c r="I20" s="1"/>
  <c r="O25" i="48"/>
  <c r="J78" i="14"/>
  <c r="Q76"/>
  <c r="P8" i="56" s="1"/>
  <c r="B10"/>
  <c r="L10"/>
  <c r="H20"/>
  <c r="O31" i="48"/>
  <c r="H78" i="14"/>
  <c r="H9" i="56"/>
  <c r="H10" s="1"/>
  <c r="Q87" i="14"/>
  <c r="P17" i="56" s="1"/>
  <c r="D17"/>
  <c r="D20" s="1"/>
  <c r="L90" i="14"/>
  <c r="L17" i="56"/>
  <c r="L20" s="1"/>
  <c r="G90" i="14"/>
  <c r="G18" i="56"/>
  <c r="O90" i="14"/>
  <c r="O18" i="56"/>
  <c r="K90" i="14"/>
  <c r="K18" i="56"/>
  <c r="K20" s="1"/>
  <c r="N78" i="14"/>
  <c r="N8" i="56"/>
  <c r="N10" s="1"/>
  <c r="C76" i="14"/>
  <c r="C8" i="56" s="1"/>
  <c r="C10" s="1"/>
  <c r="E8"/>
  <c r="E10" s="1"/>
  <c r="M78" i="14"/>
  <c r="M8" i="56"/>
  <c r="M10" s="1"/>
  <c r="G10"/>
  <c r="O10"/>
  <c r="C88" i="14"/>
  <c r="C18" i="56" s="1"/>
  <c r="G20"/>
  <c r="O20"/>
  <c r="N90" i="14"/>
  <c r="F10" i="56"/>
  <c r="F20"/>
  <c r="F90" i="14"/>
  <c r="E20" i="56"/>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Q78" l="1"/>
  <c r="B9" i="6" s="1"/>
  <c r="P9" i="56"/>
  <c r="P10" s="1"/>
  <c r="C78" i="14"/>
  <c r="B4" i="6" s="1"/>
  <c r="J90" i="14"/>
  <c r="J17" i="56"/>
  <c r="J20" s="1"/>
  <c r="C20"/>
  <c r="P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32" i="48"/>
  <c r="L28"/>
  <c r="L29"/>
  <c r="L27"/>
  <c r="L31"/>
  <c r="L22"/>
  <c r="L30"/>
  <c r="L24"/>
  <c r="Q10" i="14"/>
  <c r="P5" i="48"/>
  <c r="P23" s="1"/>
  <c r="K32"/>
  <c r="K28"/>
  <c r="K27"/>
  <c r="K25"/>
  <c r="K31"/>
  <c r="K24"/>
  <c r="K29"/>
  <c r="K22"/>
  <c r="K26"/>
  <c r="K30"/>
  <c r="J10" i="14"/>
  <c r="J16" s="1"/>
  <c r="J27" s="1"/>
  <c r="I5" i="48"/>
  <c r="J24"/>
  <c r="J32"/>
  <c r="J29"/>
  <c r="J31"/>
  <c r="J30"/>
  <c r="J28"/>
  <c r="J27"/>
  <c r="Q11" i="14"/>
  <c r="P4" i="48"/>
  <c r="B7"/>
  <c r="C24" i="14"/>
  <c r="C26" s="1"/>
  <c r="P11"/>
  <c r="O4" i="48"/>
  <c r="I29"/>
  <c r="I22"/>
  <c r="I31"/>
  <c r="I28"/>
  <c r="I27"/>
  <c r="I32"/>
  <c r="I25"/>
  <c r="I24"/>
  <c r="I30"/>
  <c r="I26"/>
  <c r="B38" i="13"/>
  <c r="B50" s="1"/>
  <c r="E28" i="48"/>
  <c r="E32"/>
  <c r="E29"/>
  <c r="E31"/>
  <c r="E24"/>
  <c r="E30"/>
  <c r="M12" i="13"/>
  <c r="N41" i="14" s="1"/>
  <c r="M17" i="48"/>
  <c r="D30"/>
  <c r="D28"/>
  <c r="D24"/>
  <c r="D29"/>
  <c r="D31"/>
  <c r="D32"/>
  <c r="E11" i="14"/>
  <c r="D4" i="48"/>
  <c r="D22" s="1"/>
  <c r="H25"/>
  <c r="H32"/>
  <c r="H24"/>
  <c r="H28"/>
  <c r="H26"/>
  <c r="H29"/>
  <c r="H22"/>
  <c r="H30"/>
  <c r="H23"/>
  <c r="D11" i="14"/>
  <c r="C4" i="48"/>
  <c r="G25"/>
  <c r="G32"/>
  <c r="G29"/>
  <c r="G26"/>
  <c r="G30"/>
  <c r="G24"/>
  <c r="G22"/>
  <c r="G23"/>
  <c r="C11" i="14"/>
  <c r="B4" i="48"/>
  <c r="F24"/>
  <c r="F32"/>
  <c r="F30"/>
  <c r="F29"/>
  <c r="F31"/>
  <c r="F27"/>
  <c r="F28"/>
  <c r="N24"/>
  <c r="N29"/>
  <c r="N32"/>
  <c r="N30"/>
  <c r="N31"/>
  <c r="N28"/>
  <c r="N27"/>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6"/>
  <c r="M24"/>
  <c r="M29"/>
  <c r="M25"/>
  <c r="M30"/>
  <c r="M23"/>
  <c r="I23"/>
  <c r="I15"/>
  <c r="P22"/>
  <c r="P33" s="1"/>
  <c r="K23"/>
  <c r="K15"/>
  <c r="P10" i="14"/>
  <c r="O5" i="48"/>
  <c r="O23" s="1"/>
  <c r="J46" i="14"/>
  <c r="J61" s="1"/>
  <c r="J63" s="1"/>
  <c r="L63"/>
  <c r="L46"/>
  <c r="L61" s="1"/>
  <c r="Q16"/>
  <c r="Q27" s="1"/>
  <c r="F4" i="48"/>
  <c r="F22" s="1"/>
  <c r="G11" i="14"/>
  <c r="I18"/>
  <c r="H13" i="48"/>
  <c r="H31" s="1"/>
  <c r="Q13" i="14"/>
  <c r="P8" i="48"/>
  <c r="P26" s="1"/>
  <c r="O22"/>
  <c r="G13"/>
  <c r="H18" i="14"/>
  <c r="N18"/>
  <c r="M13" i="48"/>
  <c r="M31" s="1"/>
  <c r="J12" i="17"/>
  <c r="K54" i="14" s="1"/>
  <c r="K56" s="1"/>
  <c r="J7" i="48"/>
  <c r="J25" s="1"/>
  <c r="K24" i="14"/>
  <c r="K26" s="1"/>
  <c r="K33" i="48"/>
  <c r="I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O8" i="48" l="1"/>
  <c r="O26" s="1"/>
  <c r="P13" i="14"/>
  <c r="P16" s="1"/>
  <c r="P27" s="1"/>
  <c r="R18"/>
  <c r="N4" i="48"/>
  <c r="N22" s="1"/>
  <c r="O11" i="14"/>
  <c r="H19"/>
  <c r="G10" i="48"/>
  <c r="K11" i="14"/>
  <c r="J4" i="48"/>
  <c r="N20" i="14"/>
  <c r="M9" i="48"/>
  <c r="E7"/>
  <c r="E25" s="1"/>
  <c r="F24" i="14"/>
  <c r="F26" s="1"/>
  <c r="F20"/>
  <c r="F22" s="1"/>
  <c r="E9" i="48"/>
  <c r="E27" s="1"/>
  <c r="H9"/>
  <c r="I20" i="14"/>
  <c r="I22" s="1"/>
  <c r="I27" s="1"/>
  <c r="G31" i="48"/>
  <c r="Q13"/>
  <c r="E12" i="17"/>
  <c r="F54" i="14" s="1"/>
  <c r="F56" s="1"/>
  <c r="O33" i="48"/>
  <c r="P15"/>
  <c r="N19" i="14"/>
  <c r="N22" s="1"/>
  <c r="N27" s="1"/>
  <c r="N63" s="1"/>
  <c r="M10" i="48"/>
  <c r="M28" s="1"/>
  <c r="E20" i="14"/>
  <c r="E22" s="1"/>
  <c r="D9" i="48"/>
  <c r="D27" s="1"/>
  <c r="B9"/>
  <c r="C20" i="14"/>
  <c r="E12" i="13"/>
  <c r="F41" i="14" s="1"/>
  <c r="E4" i="48"/>
  <c r="F11" i="14"/>
  <c r="R11" s="1"/>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I63" l="1"/>
  <c r="H52"/>
  <c r="H61" s="1"/>
  <c r="H20"/>
  <c r="R20" s="1"/>
  <c r="G9" i="48"/>
  <c r="E22"/>
  <c r="Q4"/>
  <c r="M27"/>
  <c r="M33" s="1"/>
  <c r="M15"/>
  <c r="G28"/>
  <c r="Q10"/>
  <c r="H27"/>
  <c r="H33" s="1"/>
  <c r="H15"/>
  <c r="C22" i="14"/>
  <c r="J22" i="48"/>
  <c r="G18" i="22"/>
  <c r="H50" i="14" s="1"/>
  <c r="Q9" i="48"/>
  <c r="J5"/>
  <c r="J23" s="1"/>
  <c r="K10" i="14"/>
  <c r="F10"/>
  <c r="R10" s="1"/>
  <c r="E5" i="48"/>
  <c r="E23" s="1"/>
  <c r="O15"/>
  <c r="E46" i="14"/>
  <c r="E61" s="1"/>
  <c r="R19"/>
  <c r="R22"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E8" i="48"/>
  <c r="E26" s="1"/>
  <c r="H22" i="14"/>
  <c r="H27" s="1"/>
  <c r="H63" s="1"/>
  <c r="G27" i="48"/>
  <c r="G33" s="1"/>
  <c r="G15"/>
  <c r="K13" i="14"/>
  <c r="J8" i="48"/>
  <c r="J26" s="1"/>
  <c r="J33" s="1"/>
  <c r="K16" i="14"/>
  <c r="K27" s="1"/>
  <c r="E33" i="48"/>
  <c r="Q5"/>
  <c r="F16" i="14"/>
  <c r="F27" s="1"/>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<sst xmlns="http://schemas.openxmlformats.org/spreadsheetml/2006/main" count="2504" uniqueCount="956">
  <si>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</si>
  <si>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</si>
  <si>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</si>
  <si>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</si>
  <si>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</si>
  <si>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</si>
  <si>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</si>
  <si>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</si>
  <si>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</si>
  <si>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</si>
  <si>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</si>
  <si>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</si>
  <si>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</si>
  <si>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</si>
  <si>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</si>
  <si>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</si>
  <si>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</si>
  <si>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</si>
  <si>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</si>
  <si>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</si>
  <si>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</si>
  <si>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</si>
  <si>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</si>
  <si>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</si>
  <si>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</si>
  <si>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</si>
  <si>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</si>
  <si>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</si>
  <si>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</si>
  <si>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</si>
  <si>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</si>
  <si>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</si>
  <si>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</si>
  <si>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</si>
  <si>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</si>
  <si>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</si>
  <si>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</si>
  <si>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</si>
  <si>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</si>
  <si>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</si>
  <si>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</si>
  <si>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</si>
  <si>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</si>
  <si>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</si>
  <si>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</si>
  <si>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</si>
  <si>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</si>
  <si>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</si>
  <si>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</si>
  <si>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</si>
  <si>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</si>
  <si>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</si>
  <si>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</si>
  <si>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</si>
  <si>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</si>
  <si>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</si>
  <si>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</si>
  <si>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</si>
  <si>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</si>
  <si>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</si>
  <si>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</si>
  <si>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</si>
  <si>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</si>
  <si>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</si>
  <si>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</si>
  <si>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</si>
  <si>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</si>
  <si>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</si>
  <si>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</si>
  <si>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</si>
  <si>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</si>
  <si>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</si>
  <si>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</si>
  <si>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</si>
  <si>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</si>
  <si>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</si>
  <si>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</si>
  <si>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</si>
  <si>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</si>
  <si>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</si>
  <si>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</si>
  <si>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</si>
  <si>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</si>
  <si>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</si>
  <si>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</si>
  <si>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</si>
  <si>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</si>
  <si>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</si>
  <si>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</si>
  <si>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</si>
  <si>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</si>
  <si>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</si>
  <si>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</si>
  <si>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</si>
  <si>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</si>
  <si>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</si>
  <si>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</si>
  <si>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</si>
  <si>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</si>
  <si>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</si>
  <si>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</si>
  <si>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</si>
  <si>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</si>
  <si>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</si>
  <si>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</si>
  <si>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</si>
  <si>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</si>
  <si>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</si>
  <si>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</si>
  <si>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</si>
  <si>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</si>
  <si>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</si>
  <si>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</si>
  <si>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</si>
  <si>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</si>
  <si>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</si>
  <si>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</si>
  <si>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</si>
  <si>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</si>
  <si>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</si>
  <si>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</si>
  <si>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</si>
  <si>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</si>
  <si>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</si>
  <si>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</si>
  <si>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</si>
  <si>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</si>
  <si>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</si>
  <si>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</si>
  <si>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</si>
  <si>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</si>
  <si>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</si>
  <si>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</si>
  <si>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</si>
  <si>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</si>
  <si>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</si>
  <si>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</si>
  <si>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</si>
  <si>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</si>
  <si>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</si>
  <si>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</si>
  <si>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</si>
  <si>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</si>
  <si>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</si>
  <si>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</si>
  <si>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</si>
  <si>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</si>
  <si>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</si>
  <si>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</si>
  <si>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</si>
  <si>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</si>
  <si>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</si>
  <si>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</si>
  <si>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</si>
  <si>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</si>
  <si>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</si>
  <si>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</si>
  <si>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</si>
  <si>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</si>
  <si>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</si>
  <si>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</si>
  <si>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</si>
  <si>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</si>
  <si>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</si>
  <si>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</si>
  <si>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</si>
  <si>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</si>
  <si>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</si>
  <si>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</si>
  <si>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</si>
  <si>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</si>
  <si>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</si>
  <si>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</si>
  <si>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</si>
  <si>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</si>
  <si>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</si>
  <si>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</si>
  <si>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</si>
  <si>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</si>
  <si>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</si>
  <si>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</si>
  <si>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</si>
  <si>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</si>
  <si>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</si>
  <si>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</si>
  <si>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</si>
  <si>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</si>
  <si>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</si>
  <si>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</si>
  <si>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</si>
  <si>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</si>
  <si>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</si>
  <si>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</si>
  <si>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</si>
  <si>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</si>
  <si>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</si>
  <si>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</si>
  <si>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</si>
  <si>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</si>
  <si>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</si>
  <si>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</si>
  <si>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</si>
  <si>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</si>
  <si>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</si>
  <si>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</si>
  <si>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</si>
  <si>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</si>
  <si>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</si>
  <si>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</si>
  <si>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</si>
  <si>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</si>
  <si>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</si>
  <si>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</si>
  <si>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</si>
  <si>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</si>
  <si>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</si>
  <si>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</si>
  <si>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</si>
  <si>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</si>
  <si>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</si>
  <si>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</si>
  <si>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</si>
  <si>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</si>
  <si>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</si>
  <si>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</si>
  <si>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</si>
  <si>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</si>
  <si>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</si>
  <si>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</si>
  <si>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</si>
  <si>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</si>
  <si>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</si>
  <si>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</si>
  <si>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</si>
  <si>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</si>
  <si>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</si>
  <si>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</si>
  <si>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</si>
  <si>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</si>
  <si>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</si>
  <si>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</si>
  <si>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</si>
  <si>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</si>
  <si>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</si>
  <si>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</si>
  <si>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</si>
  <si>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</si>
  <si>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</si>
  <si>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</si>
  <si>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</si>
  <si>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</si>
  <si>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</si>
  <si>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</si>
  <si>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</si>
  <si>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</si>
  <si>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</si>
  <si>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</si>
  <si>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</si>
  <si>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</si>
  <si>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</si>
  <si>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</si>
  <si>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</si>
  <si>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</si>
  <si>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</si>
  <si>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</si>
  <si>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</si>
  <si>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</si>
  <si>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</si>
  <si>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</si>
  <si>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</si>
  <si>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</si>
  <si>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</si>
  <si>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</si>
  <si>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</si>
  <si>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</si>
  <si>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</si>
  <si>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</si>
  <si>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</si>
  <si>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</si>
  <si>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</si>
  <si>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</si>
  <si>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</si>
  <si>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</si>
  <si>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</si>
  <si>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</si>
  <si>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</si>
  <si>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</si>
  <si>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</si>
  <si>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</si>
  <si>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</si>
  <si>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</si>
  <si>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</si>
  <si>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</si>
  <si>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</si>
  <si>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</si>
  <si>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</si>
  <si>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</si>
  <si>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</si>
  <si>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</si>
  <si>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</si>
  <si>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</si>
  <si>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</si>
  <si>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</si>
  <si>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</si>
  <si>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</si>
  <si>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</si>
  <si>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</si>
  <si>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</si>
  <si>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</si>
  <si>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</si>
  <si>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</si>
  <si>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</si>
  <si>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</si>
  <si>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</si>
  <si>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</si>
  <si>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</si>
  <si>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</si>
  <si>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</si>
  <si>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</si>
  <si>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</si>
  <si>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</si>
  <si>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</si>
  <si>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</si>
  <si>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</si>
  <si>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</si>
  <si>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</si>
  <si>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</si>
  <si>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</si>
  <si>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</si>
  <si>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</si>
  <si>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</si>
  <si>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</si>
  <si>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</si>
  <si>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</si>
  <si>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</si>
  <si>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</si>
  <si>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</si>
  <si>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</si>
  <si>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</si>
  <si>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</si>
  <si>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</si>
  <si>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</si>
  <si>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</si>
  <si>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</si>
  <si>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</si>
  <si>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</si>
  <si>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</si>
  <si>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</si>
  <si>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</si>
  <si>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</si>
  <si>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</si>
  <si>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</si>
  <si>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</si>
  <si>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</si>
  <si>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</si>
  <si>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</si>
  <si>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</si>
  <si>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</si>
  <si>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</si>
  <si>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</si>
  <si>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</si>
  <si>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</si>
  <si>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</si>
  <si>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</si>
  <si>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</si>
  <si>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</si>
  <si>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</si>
  <si>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</si>
  <si>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</si>
  <si>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</si>
  <si>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</si>
  <si>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</si>
  <si>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</si>
  <si>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</si>
  <si>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</si>
  <si>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</si>
  <si>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</si>
  <si>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</si>
  <si>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</si>
  <si>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</si>
  <si>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</si>
  <si>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</si>
  <si>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</si>
  <si>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</si>
  <si>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</si>
  <si>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</si>
  <si>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</si>
  <si>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</si>
  <si>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</si>
  <si>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</si>
  <si>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</si>
  <si>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</si>
  <si>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</si>
  <si>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</si>
  <si>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</si>
  <si>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</si>
  <si>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</si>
  <si>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</si>
  <si>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</si>
  <si>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</si>
  <si>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</si>
  <si>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</si>
  <si>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</si>
  <si>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</si>
  <si>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</si>
  <si>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</si>
  <si>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</si>
  <si>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</si>
  <si>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</si>
  <si>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</si>
  <si>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</si>
  <si>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</si>
  <si>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</si>
  <si>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</si>
  <si>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</si>
  <si>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</si>
  <si>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</si>
  <si>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</si>
  <si>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</si>
  <si>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</si>
  <si>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</si>
  <si>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</si>
  <si>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</si>
  <si>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</si>
  <si>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</si>
  <si>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</si>
  <si>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</si>
  <si>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</si>
  <si>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</si>
  <si>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</si>
  <si>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</si>
  <si>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</si>
  <si>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</si>
  <si>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</si>
  <si>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</si>
  <si>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</si>
  <si>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</si>
  <si>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</si>
  <si>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</si>
  <si>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</si>
  <si>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</si>
  <si>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</si>
  <si>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</si>
  <si>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</si>
  <si>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</si>
  <si>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</si>
  <si>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</si>
  <si>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</si>
  <si>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</si>
  <si>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</si>
  <si>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</si>
  <si>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</si>
  <si>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</si>
  <si>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</si>
  <si>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</si>
  <si>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</si>
  <si>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</si>
  <si>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</si>
  <si>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</si>
  <si>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</si>
  <si>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</si>
  <si>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</si>
  <si>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</si>
  <si>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</si>
  <si>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</si>
  <si>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</si>
  <si>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</si>
  <si>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</si>
  <si>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</si>
  <si>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</si>
  <si>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</si>
  <si>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</si>
  <si>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</si>
  <si>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</si>
  <si>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</si>
  <si>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</si>
  <si>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</si>
  <si>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</si>
  <si>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</si>
  <si>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</si>
  <si>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</si>
  <si>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</si>
  <si>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</si>
  <si>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</si>
  <si>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</si>
  <si>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</si>
  <si>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</si>
  <si>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</si>
  <si>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</si>
  <si>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</si>
  <si>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</si>
  <si>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</si>
  <si>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</si>
  <si>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</si>
  <si>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</si>
  <si>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</si>
  <si>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</si>
  <si>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</si>
  <si>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</si>
  <si>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</si>
  <si>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</si>
  <si>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</si>
  <si>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</si>
  <si>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</si>
  <si>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</si>
  <si>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</si>
  <si>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</si>
  <si>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</si>
  <si>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</si>
  <si>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</si>
  <si>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</si>
  <si>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</si>
  <si>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</si>
  <si>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</si>
  <si>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</si>
  <si>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</si>
  <si>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</si>
  <si>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</si>
  <si>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</si>
  <si>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</si>
  <si>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</si>
  <si>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</si>
  <si>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</si>
  <si>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</si>
  <si>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</si>
  <si>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</si>
  <si>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</si>
  <si>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</si>
  <si>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</si>
  <si>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</si>
  <si>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</si>
  <si>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</si>
  <si>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</si>
  <si>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</si>
  <si>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</si>
  <si>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</si>
  <si>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</si>
  <si>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</si>
  <si>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</si>
  <si>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</si>
  <si>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</si>
  <si>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</si>
  <si>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</si>
  <si>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</si>
  <si>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</si>
  <si>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</si>
  <si>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</si>
  <si>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</si>
  <si>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</si>
  <si>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</si>
  <si>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</si>
  <si>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</si>
  <si>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</si>
  <si>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</si>
  <si>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</si>
  <si>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</si>
  <si>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</si>
  <si>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</si>
  <si>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</si>
  <si>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</si>
  <si>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</si>
  <si>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</si>
  <si>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</si>
  <si>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</si>
  <si>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</si>
  <si>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</si>
  <si>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</si>
  <si>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</si>
  <si>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</si>
  <si>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</si>
  <si>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</si>
  <si>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</si>
  <si>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</si>
  <si>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</si>
  <si>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</si>
  <si>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</si>
  <si>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</si>
  <si>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</si>
  <si>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</si>
  <si>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</si>
  <si>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</si>
  <si>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</si>
  <si>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</si>
  <si>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</si>
  <si>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</si>
  <si>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</si>
  <si>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</si>
  <si>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</si>
  <si>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</si>
  <si>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</si>
  <si>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</si>
  <si>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</si>
  <si>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</si>
  <si>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</si>
  <si>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</si>
  <si>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</si>
  <si>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</si>
  <si>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</si>
  <si>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</si>
  <si>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</si>
  <si>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</si>
  <si>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</si>
  <si>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</si>
  <si>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</si>
  <si>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</si>
  <si>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</si>
  <si>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</si>
  <si>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</si>
  <si>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</si>
  <si>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</si>
  <si>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</si>
  <si>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</si>
  <si>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</si>
  <si>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</si>
  <si>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</si>
  <si>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</si>
  <si>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</si>
  <si>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</si>
  <si>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</si>
  <si>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</si>
  <si>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</si>
  <si>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</si>
  <si>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</si>
  <si>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</si>
  <si>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</si>
  <si>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</si>
  <si>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</si>
  <si>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</si>
  <si>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</si>
  <si>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</si>
  <si>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</si>
  <si>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</si>
  <si>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</si>
  <si>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</si>
  <si>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</si>
  <si>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</si>
  <si>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</si>
  <si>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</si>
  <si>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</si>
  <si>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</si>
  <si>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</si>
  <si>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</si>
  <si>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</si>
  <si>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</si>
  <si>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</si>
  <si>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</si>
  <si>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</si>
  <si>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</si>
  <si>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</si>
  <si>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</si>
  <si>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</si>
  <si>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</si>
  <si>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</si>
  <si>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</si>
  <si>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</si>
  <si>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</si>
  <si>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</si>
  <si>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</si>
  <si>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</si>
  <si>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</si>
  <si>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</si>
  <si>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</si>
  <si>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</si>
  <si>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</si>
  <si>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</si>
  <si>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</si>
  <si>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</si>
  <si>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</si>
  <si>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</si>
  <si>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</si>
  <si>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</si>
  <si>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</si>
  <si>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</si>
  <si>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</si>
  <si>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</si>
  <si>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</si>
  <si>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</si>
  <si>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</si>
  <si>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</si>
  <si>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</si>
  <si>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</si>
  <si>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</si>
  <si>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</si>
  <si>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</si>
  <si>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</si>
  <si>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</si>
  <si>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</si>
  <si>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</si>
  <si>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</si>
  <si>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</si>
  <si>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</si>
  <si>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</si>
  <si>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</si>
  <si>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</si>
  <si>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</si>
  <si>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</si>
  <si>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</si>
  <si>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</si>
  <si>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</si>
  <si>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</si>
  <si>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</si>
  <si>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</si>
  <si>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</si>
  <si>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</si>
  <si>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</si>
  <si>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</si>
  <si>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</si>
  <si>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</si>
  <si>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</si>
  <si>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</si>
  <si>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</si>
  <si>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</si>
  <si>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</si>
  <si>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</si>
  <si>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</si>
  <si>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</si>
  <si>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</si>
  <si>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</si>
  <si>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</si>
  <si>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</si>
  <si>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</si>
  <si>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</si>
  <si>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</si>
  <si>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</si>
  <si>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</si>
  <si>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</si>
  <si>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</si>
  <si>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</si>
  <si>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</si>
  <si>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</si>
  <si>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</si>
  <si>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</si>
  <si>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</si>
  <si>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</si>
  <si>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</si>
  <si>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</si>
  <si>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</si>
  <si>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</si>
  <si>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</si>
  <si>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</si>
  <si>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</si>
  <si>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</si>
  <si>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</si>
  <si>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</si>
  <si>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</si>
  <si>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</si>
  <si>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</si>
  <si>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</si>
  <si>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</si>
  <si>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</si>
  <si>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</si>
  <si>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</si>
  <si>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</si>
  <si>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</si>
  <si>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</si>
  <si>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</si>
  <si>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</si>
  <si>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</si>
  <si>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</si>
  <si>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</si>
  <si>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</si>
  <si>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</si>
  <si>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</si>
  <si>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</si>
  <si>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</si>
  <si>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</si>
  <si>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</si>
  <si>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</si>
  <si>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</si>
  <si>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</si>
  <si>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</si>
  <si>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</si>
  <si>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</si>
  <si>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</si>
  <si>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</si>
  <si>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</si>
  <si>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</si>
  <si>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</si>
  <si>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</si>
  <si>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</si>
  <si>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</si>
  <si>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</si>
  <si>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</si>
  <si>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</si>
  <si>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</si>
  <si>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</si>
  <si>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</si>
  <si>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</si>
  <si>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</si>
  <si>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</si>
  <si>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</si>
  <si>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</si>
  <si>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</si>
  <si>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</si>
  <si>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</si>
  <si>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</si>
  <si>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</si>
  <si>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</si>
  <si>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</si>
  <si>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</si>
  <si>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</si>
  <si>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</si>
  <si>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</si>
  <si>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</si>
  <si>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</si>
  <si>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</si>
  <si>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</si>
  <si>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</si>
  <si>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</si>
  <si>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</si>
  <si>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</si>
  <si>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</si>
  <si>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</si>
  <si>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</si>
  <si>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</si>
  <si>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</si>
  <si>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</si>
  <si>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</si>
  <si>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</si>
  <si>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</si>
  <si>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</si>
  <si>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</si>
  <si>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</si>
  <si>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</si>
  <si>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</si>
  <si>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</si>
  <si>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</si>
  <si>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</si>
  <si>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</si>
  <si>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</si>
  <si>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</si>
  <si>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</si>
  <si>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</si>
  <si>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</si>
  <si>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</si>
  <si>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</si>
  <si>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</si>
  <si>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</si>
  <si>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</si>
  <si>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</si>
  <si>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</si>
  <si>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</si>
  <si>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</si>
  <si>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</si>
  <si>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</si>
  <si>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</si>
  <si>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</si>
  <si>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</si>
  <si>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</si>
  <si>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</si>
  <si>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</si>
  <si>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</si>
  <si>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</si>
  <si>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</si>
  <si>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</si>
  <si>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</si>
  <si>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</si>
  <si>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</si>
  <si>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</si>
  <si>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</si>
  <si>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</si>
  <si>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</si>
  <si>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</si>
  <si>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</si>
  <si>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</si>
  <si>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</si>
  <si>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</si>
  <si>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</si>
  <si>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</si>
  <si>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</si>
  <si>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</si>
  <si>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</si>
  <si>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</si>
  <si>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</si>
  <si>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</si>
  <si>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</si>
  <si>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</si>
  <si>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</si>
  <si>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</si>
  <si>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</si>
  <si>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</si>
  <si>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</si>
  <si>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</si>
  <si>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</si>
  <si>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</si>
  <si>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</si>
  <si>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</si>
  <si>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</si>
  <si>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</si>
  <si>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</si>
  <si>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</si>
  <si>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</si>
  <si>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</si>
  <si>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</si>
  <si>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</si>
  <si>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</si>
  <si>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</si>
  <si>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</si>
  <si>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</si>
  <si>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</si>
  <si>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</si>
  <si>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</si>
  <si>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</si>
  <si>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</si>
  <si>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</si>
  <si>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</si>
  <si>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</si>
  <si>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</si>
  <si>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</si>
  <si>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</si>
  <si>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</si>
  <si>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</si>
  <si>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</si>
  <si>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</si>
  <si>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</si>
  <si>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</si>
  <si>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</si>
  <si>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</si>
  <si>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</si>
  <si>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</si>
  <si>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</si>
  <si>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</si>
  <si>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</si>
  <si>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</si>
  <si>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</si>
  <si>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</si>
  <si>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</si>
  <si>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</si>
  <si>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</si>
  <si>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</si>
  <si>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</si>
  <si>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</si>
  <si>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</si>
  <si>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</si>
  <si>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</si>
  <si>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</si>
  <si>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</si>
  <si>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</si>
  <si>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</si>
  <si>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</si>
  <si>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</si>
  <si>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</si>
  <si>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44012</t>
  </si>
  <si>
    <t>DE_PINTE</t>
  </si>
  <si>
    <t>Paarden&amp;pony's 200 - 600 kg</t>
  </si>
  <si>
    <t>Paarden&amp;pony's &lt; 200 kg</t>
  </si>
  <si>
    <t>op basis van VEA (maart 2018) en Inventaris Hernieuwbare Energiebronnen (juni 2018)</t>
  </si>
  <si>
    <t>VEA (juni 2018)</t>
  </si>
  <si>
    <t>Gaston Vander Cruyssen</t>
  </si>
  <si>
    <t>Rubenslaan 12 , 9840 De Pinte</t>
  </si>
  <si>
    <t>WKK-0423 Gaston Vander Cruyssen</t>
  </si>
  <si>
    <t>stirlingmotor</t>
  </si>
  <si>
    <t>IMEWO</t>
  </si>
  <si>
    <t>Chris Van Dorpe</t>
  </si>
  <si>
    <t>Grote steenweg 112 , 9840 De Pinte</t>
  </si>
  <si>
    <t>WKK-0474 Chris Van Dorpe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</si>
</sst>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44012</v>
      </c>
      <c r="B6" s="397"/>
      <c r="C6" s="398"/>
    </row>
    <row r="7" spans="1:7" s="395" customFormat="1" ht="15.75" customHeight="1">
      <c r="A7" s="399" t="str">
        <f>txtMunicipality</f>
        <v>DE_PINTE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0.20693519522300668</v>
      </c>
      <c r="C17" s="510">
        <f ca="1">'EF ele_warmte'!B22</f>
        <v>0.2244444444444445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0.20693519522300668</v>
      </c>
      <c r="C29" s="511">
        <f ca="1">'EF ele_warmte'!B22</f>
        <v>0.2244444444444445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44012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4091</v>
      </c>
      <c r="C9" s="338">
        <v>4276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844</v>
      </c>
    </row>
    <row r="15" spans="1:6">
      <c r="A15" s="1286" t="s">
        <v>184</v>
      </c>
      <c r="B15" s="335">
        <v>9</v>
      </c>
    </row>
    <row r="16" spans="1:6">
      <c r="A16" s="1286" t="s">
        <v>6</v>
      </c>
      <c r="B16" s="335">
        <v>365</v>
      </c>
    </row>
    <row r="17" spans="1:6">
      <c r="A17" s="1286" t="s">
        <v>7</v>
      </c>
      <c r="B17" s="335">
        <v>129</v>
      </c>
    </row>
    <row r="18" spans="1:6">
      <c r="A18" s="1286" t="s">
        <v>8</v>
      </c>
      <c r="B18" s="335">
        <v>292</v>
      </c>
    </row>
    <row r="19" spans="1:6">
      <c r="A19" s="1286" t="s">
        <v>9</v>
      </c>
      <c r="B19" s="335">
        <v>269</v>
      </c>
    </row>
    <row r="20" spans="1:6">
      <c r="A20" s="1286" t="s">
        <v>10</v>
      </c>
      <c r="B20" s="335">
        <v>150</v>
      </c>
    </row>
    <row r="21" spans="1:6">
      <c r="A21" s="1286" t="s">
        <v>11</v>
      </c>
      <c r="B21" s="335">
        <v>217</v>
      </c>
    </row>
    <row r="22" spans="1:6">
      <c r="A22" s="1286" t="s">
        <v>12</v>
      </c>
      <c r="B22" s="335">
        <v>1151</v>
      </c>
    </row>
    <row r="23" spans="1:6">
      <c r="A23" s="1286" t="s">
        <v>13</v>
      </c>
      <c r="B23" s="335">
        <v>9</v>
      </c>
    </row>
    <row r="24" spans="1:6">
      <c r="A24" s="1286" t="s">
        <v>14</v>
      </c>
      <c r="B24" s="335">
        <v>1</v>
      </c>
    </row>
    <row r="25" spans="1:6">
      <c r="A25" s="1286" t="s">
        <v>15</v>
      </c>
      <c r="B25" s="335">
        <v>75</v>
      </c>
    </row>
    <row r="26" spans="1:6">
      <c r="A26" s="1286" t="s">
        <v>16</v>
      </c>
      <c r="B26" s="335">
        <v>30</v>
      </c>
    </row>
    <row r="27" spans="1:6">
      <c r="A27" s="1286" t="s">
        <v>17</v>
      </c>
      <c r="B27" s="335">
        <v>4</v>
      </c>
    </row>
    <row r="28" spans="1:6" s="341" customFormat="1">
      <c r="A28" s="1287" t="s">
        <v>18</v>
      </c>
      <c r="B28" s="1287">
        <v>0</v>
      </c>
    </row>
    <row r="29" spans="1:6">
      <c r="A29" s="1287" t="s">
        <v>944</v>
      </c>
      <c r="B29" s="1287">
        <v>44</v>
      </c>
      <c r="C29" s="341"/>
      <c r="D29" s="341"/>
      <c r="E29" s="341"/>
      <c r="F29" s="341"/>
    </row>
    <row r="30" spans="1:6">
      <c r="A30" s="1282" t="s">
        <v>945</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2492</v>
      </c>
    </row>
    <row r="39" spans="1:6">
      <c r="A39" s="1286" t="s">
        <v>30</v>
      </c>
      <c r="B39" s="1286" t="s">
        <v>31</v>
      </c>
      <c r="C39" s="335">
        <v>1887</v>
      </c>
      <c r="D39" s="335">
        <v>37422297.475878201</v>
      </c>
      <c r="E39" s="335">
        <v>3997</v>
      </c>
      <c r="F39" s="335">
        <v>21715885.808926899</v>
      </c>
    </row>
    <row r="40" spans="1:6">
      <c r="A40" s="1286" t="s">
        <v>30</v>
      </c>
      <c r="B40" s="1286" t="s">
        <v>29</v>
      </c>
      <c r="C40" s="335">
        <v>0</v>
      </c>
      <c r="D40" s="335">
        <v>0</v>
      </c>
      <c r="E40" s="335">
        <v>0</v>
      </c>
      <c r="F40" s="335">
        <v>0</v>
      </c>
    </row>
    <row r="41" spans="1:6">
      <c r="A41" s="1286" t="s">
        <v>32</v>
      </c>
      <c r="B41" s="1286" t="s">
        <v>33</v>
      </c>
      <c r="C41" s="335">
        <v>13</v>
      </c>
      <c r="D41" s="335">
        <v>224136.11868451899</v>
      </c>
      <c r="E41" s="335">
        <v>48</v>
      </c>
      <c r="F41" s="335">
        <v>521765.36201097898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442030.44670846901</v>
      </c>
      <c r="E48" s="335">
        <v>24</v>
      </c>
      <c r="F48" s="335">
        <v>456212.30964626302</v>
      </c>
    </row>
    <row r="49" spans="1:6">
      <c r="A49" s="1286" t="s">
        <v>32</v>
      </c>
      <c r="B49" s="1286" t="s">
        <v>40</v>
      </c>
      <c r="C49" s="335">
        <v>0</v>
      </c>
      <c r="D49" s="335">
        <v>0</v>
      </c>
      <c r="E49" s="335">
        <v>0</v>
      </c>
      <c r="F49" s="335">
        <v>0</v>
      </c>
    </row>
    <row r="50" spans="1:6">
      <c r="A50" s="1286" t="s">
        <v>32</v>
      </c>
      <c r="B50" s="1286" t="s">
        <v>41</v>
      </c>
      <c r="C50" s="335">
        <v>0</v>
      </c>
      <c r="D50" s="335">
        <v>0</v>
      </c>
      <c r="E50" s="335">
        <v>4</v>
      </c>
      <c r="F50" s="335">
        <v>156937.69507339201</v>
      </c>
    </row>
    <row r="51" spans="1:6">
      <c r="A51" s="1286" t="s">
        <v>42</v>
      </c>
      <c r="B51" s="1286" t="s">
        <v>43</v>
      </c>
      <c r="C51" s="335">
        <v>3</v>
      </c>
      <c r="D51" s="335">
        <v>1297206.01632444</v>
      </c>
      <c r="E51" s="335">
        <v>44</v>
      </c>
      <c r="F51" s="335">
        <v>549941.54824486503</v>
      </c>
    </row>
    <row r="52" spans="1:6">
      <c r="A52" s="1286" t="s">
        <v>42</v>
      </c>
      <c r="B52" s="1286" t="s">
        <v>29</v>
      </c>
      <c r="C52" s="335">
        <v>0</v>
      </c>
      <c r="D52" s="335">
        <v>0</v>
      </c>
      <c r="E52" s="335">
        <v>5</v>
      </c>
      <c r="F52" s="335">
        <v>40965.271588066404</v>
      </c>
    </row>
    <row r="53" spans="1:6">
      <c r="A53" s="1286" t="s">
        <v>44</v>
      </c>
      <c r="B53" s="1286" t="s">
        <v>45</v>
      </c>
      <c r="C53" s="335">
        <v>37</v>
      </c>
      <c r="D53" s="335">
        <v>1921353.0962300799</v>
      </c>
      <c r="E53" s="335">
        <v>99</v>
      </c>
      <c r="F53" s="335">
        <v>733529.92751904204</v>
      </c>
    </row>
    <row r="54" spans="1:6">
      <c r="A54" s="1286" t="s">
        <v>46</v>
      </c>
      <c r="B54" s="1286" t="s">
        <v>47</v>
      </c>
      <c r="C54" s="335">
        <v>0</v>
      </c>
      <c r="D54" s="335">
        <v>0</v>
      </c>
      <c r="E54" s="335">
        <v>2</v>
      </c>
      <c r="F54" s="335">
        <v>924159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v>
      </c>
      <c r="D57" s="335">
        <v>173240.91631855301</v>
      </c>
      <c r="E57" s="335">
        <v>53</v>
      </c>
      <c r="F57" s="335">
        <v>557556.660477489</v>
      </c>
    </row>
    <row r="58" spans="1:6">
      <c r="A58" s="1286" t="s">
        <v>49</v>
      </c>
      <c r="B58" s="1286" t="s">
        <v>51</v>
      </c>
      <c r="C58" s="335">
        <v>6</v>
      </c>
      <c r="D58" s="335">
        <v>215005.35778659201</v>
      </c>
      <c r="E58" s="335">
        <v>19</v>
      </c>
      <c r="F58" s="335">
        <v>217017.560146884</v>
      </c>
    </row>
    <row r="59" spans="1:6">
      <c r="A59" s="1286" t="s">
        <v>49</v>
      </c>
      <c r="B59" s="1286" t="s">
        <v>52</v>
      </c>
      <c r="C59" s="335">
        <v>22</v>
      </c>
      <c r="D59" s="335">
        <v>762192.90235815302</v>
      </c>
      <c r="E59" s="335">
        <v>67</v>
      </c>
      <c r="F59" s="335">
        <v>1169369.19769533</v>
      </c>
    </row>
    <row r="60" spans="1:6">
      <c r="A60" s="1286" t="s">
        <v>49</v>
      </c>
      <c r="B60" s="1286" t="s">
        <v>53</v>
      </c>
      <c r="C60" s="335">
        <v>21</v>
      </c>
      <c r="D60" s="335">
        <v>697789.98735654901</v>
      </c>
      <c r="E60" s="335">
        <v>42</v>
      </c>
      <c r="F60" s="335">
        <v>727835.72562133998</v>
      </c>
    </row>
    <row r="61" spans="1:6">
      <c r="A61" s="1286" t="s">
        <v>49</v>
      </c>
      <c r="B61" s="1286" t="s">
        <v>54</v>
      </c>
      <c r="C61" s="335">
        <v>71</v>
      </c>
      <c r="D61" s="335">
        <v>4373463.4318993101</v>
      </c>
      <c r="E61" s="335">
        <v>144</v>
      </c>
      <c r="F61" s="335">
        <v>2177603.01550761</v>
      </c>
    </row>
    <row r="62" spans="1:6">
      <c r="A62" s="1286" t="s">
        <v>49</v>
      </c>
      <c r="B62" s="1286" t="s">
        <v>55</v>
      </c>
      <c r="C62" s="335">
        <v>3</v>
      </c>
      <c r="D62" s="335">
        <v>266662.35383041902</v>
      </c>
      <c r="E62" s="335">
        <v>7</v>
      </c>
      <c r="F62" s="335">
        <v>231831.452903717</v>
      </c>
    </row>
    <row r="63" spans="1:6">
      <c r="A63" s="1286" t="s">
        <v>49</v>
      </c>
      <c r="B63" s="1286" t="s">
        <v>29</v>
      </c>
      <c r="C63" s="335">
        <v>72</v>
      </c>
      <c r="D63" s="335">
        <v>3278911.1161364699</v>
      </c>
      <c r="E63" s="335">
        <v>94</v>
      </c>
      <c r="F63" s="335">
        <v>1340340.53214292</v>
      </c>
    </row>
    <row r="64" spans="1:6">
      <c r="A64" s="1286" t="s">
        <v>56</v>
      </c>
      <c r="B64" s="1286" t="s">
        <v>57</v>
      </c>
      <c r="C64" s="335">
        <v>0</v>
      </c>
      <c r="D64" s="335">
        <v>0</v>
      </c>
      <c r="E64" s="335">
        <v>0</v>
      </c>
      <c r="F64" s="335">
        <v>0</v>
      </c>
    </row>
    <row r="65" spans="1:6">
      <c r="A65" s="1286" t="s">
        <v>56</v>
      </c>
      <c r="B65" s="1286" t="s">
        <v>29</v>
      </c>
      <c r="C65" s="335">
        <v>1</v>
      </c>
      <c r="D65" s="335">
        <v>6202.2861776795999</v>
      </c>
      <c r="E65" s="335">
        <v>4</v>
      </c>
      <c r="F65" s="335">
        <v>42868.7914819793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19391678</v>
      </c>
      <c r="E73" s="335">
        <v>18248704.372139454</v>
      </c>
    </row>
    <row r="74" spans="1:6">
      <c r="A74" s="1286" t="s">
        <v>64</v>
      </c>
      <c r="B74" s="1286" t="s">
        <v>772</v>
      </c>
      <c r="C74" s="1297" t="s">
        <v>766</v>
      </c>
      <c r="D74" s="335">
        <v>2702123.939311415</v>
      </c>
      <c r="E74" s="335">
        <v>2715106.9970464073</v>
      </c>
    </row>
    <row r="75" spans="1:6">
      <c r="A75" s="1286" t="s">
        <v>65</v>
      </c>
      <c r="B75" s="1286" t="s">
        <v>771</v>
      </c>
      <c r="C75" s="1297" t="s">
        <v>767</v>
      </c>
      <c r="D75" s="335">
        <v>18729664</v>
      </c>
      <c r="E75" s="335">
        <v>18958117.268815774</v>
      </c>
    </row>
    <row r="76" spans="1:6">
      <c r="A76" s="1286" t="s">
        <v>65</v>
      </c>
      <c r="B76" s="1286" t="s">
        <v>772</v>
      </c>
      <c r="C76" s="1297" t="s">
        <v>768</v>
      </c>
      <c r="D76" s="335">
        <v>1112418.9393114152</v>
      </c>
      <c r="E76" s="335">
        <v>1096495.8496016171</v>
      </c>
    </row>
    <row r="77" spans="1:6">
      <c r="A77" s="1286" t="s">
        <v>66</v>
      </c>
      <c r="B77" s="1286" t="s">
        <v>771</v>
      </c>
      <c r="C77" s="1297" t="s">
        <v>769</v>
      </c>
      <c r="D77" s="335">
        <v>123944624</v>
      </c>
      <c r="E77" s="335">
        <v>139683116.52027205</v>
      </c>
    </row>
    <row r="78" spans="1:6">
      <c r="A78" s="1282" t="s">
        <v>66</v>
      </c>
      <c r="B78" s="1282" t="s">
        <v>772</v>
      </c>
      <c r="C78" s="1282" t="s">
        <v>770</v>
      </c>
      <c r="D78" s="1282">
        <v>28474271</v>
      </c>
      <c r="E78" s="1282">
        <v>31433802.799519308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315524.12137716968</v>
      </c>
      <c r="C83" s="335">
        <v>303052.78069479234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1544.7631858918057</v>
      </c>
    </row>
    <row r="92" spans="1:6">
      <c r="A92" s="1282" t="s">
        <v>69</v>
      </c>
      <c r="B92" s="338">
        <v>559.82685191142593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766</v>
      </c>
    </row>
    <row r="98" spans="1:6">
      <c r="A98" s="1286" t="s">
        <v>72</v>
      </c>
      <c r="B98" s="335">
        <v>0</v>
      </c>
    </row>
    <row r="99" spans="1:6">
      <c r="A99" s="1286" t="s">
        <v>73</v>
      </c>
      <c r="B99" s="335">
        <v>41</v>
      </c>
    </row>
    <row r="100" spans="1:6">
      <c r="A100" s="1286" t="s">
        <v>74</v>
      </c>
      <c r="B100" s="335">
        <v>622</v>
      </c>
    </row>
    <row r="101" spans="1:6">
      <c r="A101" s="1286" t="s">
        <v>75</v>
      </c>
      <c r="B101" s="335">
        <v>45</v>
      </c>
    </row>
    <row r="102" spans="1:6">
      <c r="A102" s="1286" t="s">
        <v>76</v>
      </c>
      <c r="B102" s="335">
        <v>57</v>
      </c>
    </row>
    <row r="103" spans="1:6">
      <c r="A103" s="1286" t="s">
        <v>77</v>
      </c>
      <c r="B103" s="335">
        <v>58</v>
      </c>
    </row>
    <row r="104" spans="1:6">
      <c r="A104" s="1286" t="s">
        <v>78</v>
      </c>
      <c r="B104" s="335">
        <v>2056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53</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33069.124125967384</v>
      </c>
      <c r="C3" s="44" t="s">
        <v>170</v>
      </c>
      <c r="D3" s="44"/>
      <c r="E3" s="157"/>
      <c r="F3" s="44"/>
      <c r="G3" s="44"/>
      <c r="H3" s="44"/>
      <c r="I3" s="44"/>
      <c r="J3" s="44"/>
      <c r="K3" s="97"/>
    </row>
    <row r="4" spans="1:11">
      <c r="A4" s="365" t="s">
        <v>171</v>
      </c>
      <c r="B4" s="50">
        <f>IF(ISERROR('SEAP template'!B78+'SEAP template'!C78),0,'SEAP template'!B78+'SEAP template'!C78)</f>
        <v>2105.6419858551794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0.23610389610389615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0.20693519522300668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1.1805194805194807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5.2597402597402594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924.15899999999999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924.15899999999999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0.20693519522300668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191.24102308209862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21715.885808926898</v>
      </c>
      <c r="C5" s="18">
        <f>IF(ISERROR('Eigen informatie GS &amp; warmtenet'!B57),0,'Eigen informatie GS &amp; warmtenet'!B57)</f>
        <v>0</v>
      </c>
      <c r="D5" s="31">
        <f>(SUM(HH_hh_gas_kWh,HH_rest_gas_kWh)/1000)*0.902</f>
        <v>33754.912323242141</v>
      </c>
      <c r="E5" s="18">
        <f>B46*B57</f>
        <v>1469.9637184789744</v>
      </c>
      <c r="F5" s="18">
        <f>B51*B62</f>
        <v>20669.632839678987</v>
      </c>
      <c r="G5" s="19"/>
      <c r="H5" s="18"/>
      <c r="I5" s="18"/>
      <c r="J5" s="18">
        <f>B50*B61+C50*C61</f>
        <v>0</v>
      </c>
      <c r="K5" s="18"/>
      <c r="L5" s="18"/>
      <c r="M5" s="18"/>
      <c r="N5" s="18">
        <f>B48*B59+C48*C59</f>
        <v>5239.503167215521</v>
      </c>
      <c r="O5" s="18">
        <f>B69*B70*B71</f>
        <v>93.8</v>
      </c>
      <c r="P5" s="18">
        <f>B77*B78*B79/1000-B77*B78*B79/1000/B80</f>
        <v>95.333333333333343</v>
      </c>
    </row>
    <row r="6" spans="1:16">
      <c r="A6" s="17" t="s">
        <v>639</v>
      </c>
      <c r="B6" s="780">
        <f>kWh_PV_kleiner_dan_10kW</f>
        <v>1544.7631858918057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23260.648994818705</v>
      </c>
      <c r="C8" s="22">
        <f>C5</f>
        <v>0</v>
      </c>
      <c r="D8" s="22">
        <f>D5</f>
        <v>33754.912323242141</v>
      </c>
      <c r="E8" s="22">
        <f>E5</f>
        <v>1469.9637184789744</v>
      </c>
      <c r="F8" s="22">
        <f>F5</f>
        <v>20669.632839678987</v>
      </c>
      <c r="G8" s="22"/>
      <c r="H8" s="22"/>
      <c r="I8" s="22"/>
      <c r="J8" s="22">
        <f>J5</f>
        <v>0</v>
      </c>
      <c r="K8" s="22"/>
      <c r="L8" s="22">
        <f>L5</f>
        <v>0</v>
      </c>
      <c r="M8" s="22">
        <f>M5</f>
        <v>0</v>
      </c>
      <c r="N8" s="22">
        <f>N5</f>
        <v>5239.503167215521</v>
      </c>
      <c r="O8" s="22">
        <f>O5</f>
        <v>93.8</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0.20693519522300668</v>
      </c>
      <c r="C10" s="26">
        <f ca="1">'EF ele_warmte'!B22</f>
        <v>0.2244444444444445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4813.446940756643</v>
      </c>
      <c r="C12" s="24">
        <f ca="1">C10*C8</f>
        <v>0</v>
      </c>
      <c r="D12" s="24">
        <f>D8*D10</f>
        <v>6818.4922892949126</v>
      </c>
      <c r="E12" s="24">
        <f>E10*E8</f>
        <v>333.68176409472721</v>
      </c>
      <c r="F12" s="24">
        <f>F10*F8</f>
        <v>5518.7919681942894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766</v>
      </c>
      <c r="C18" s="169" t="s">
        <v>111</v>
      </c>
      <c r="D18" s="231"/>
      <c r="E18" s="16"/>
    </row>
    <row r="19" spans="1:7">
      <c r="A19" s="174" t="s">
        <v>72</v>
      </c>
      <c r="B19" s="38">
        <f>aantalw2001_ander</f>
        <v>0</v>
      </c>
      <c r="C19" s="169" t="s">
        <v>111</v>
      </c>
      <c r="D19" s="232"/>
      <c r="E19" s="16"/>
    </row>
    <row r="20" spans="1:7">
      <c r="A20" s="174" t="s">
        <v>73</v>
      </c>
      <c r="B20" s="38">
        <f>aantalw2001_propaan</f>
        <v>41</v>
      </c>
      <c r="C20" s="170">
        <f>IF(ISERROR(B20/SUM($B$20,$B$21,$B$22)*100),0,B20/SUM($B$20,$B$21,$B$22)*100)</f>
        <v>5.7909604519774014</v>
      </c>
      <c r="D20" s="232"/>
      <c r="E20" s="16"/>
    </row>
    <row r="21" spans="1:7">
      <c r="A21" s="174" t="s">
        <v>74</v>
      </c>
      <c r="B21" s="38">
        <f>aantalw2001_elektriciteit</f>
        <v>622</v>
      </c>
      <c r="C21" s="170">
        <f>IF(ISERROR(B21/SUM($B$20,$B$21,$B$22)*100),0,B21/SUM($B$20,$B$21,$B$22)*100)</f>
        <v>87.853107344632761</v>
      </c>
      <c r="D21" s="232"/>
      <c r="E21" s="16"/>
    </row>
    <row r="22" spans="1:7">
      <c r="A22" s="174" t="s">
        <v>75</v>
      </c>
      <c r="B22" s="38">
        <f>aantalw2001_hout</f>
        <v>45</v>
      </c>
      <c r="C22" s="170">
        <f>IF(ISERROR(B22/SUM($B$20,$B$21,$B$22)*100),0,B22/SUM($B$20,$B$21,$B$22)*100)</f>
        <v>6.3559322033898304</v>
      </c>
      <c r="D22" s="232"/>
      <c r="E22" s="16"/>
    </row>
    <row r="23" spans="1:7">
      <c r="A23" s="174" t="s">
        <v>76</v>
      </c>
      <c r="B23" s="38">
        <f>aantalw2001_niet_gespec</f>
        <v>57</v>
      </c>
      <c r="C23" s="169" t="s">
        <v>111</v>
      </c>
      <c r="D23" s="231"/>
      <c r="E23" s="16"/>
    </row>
    <row r="24" spans="1:7">
      <c r="A24" s="174" t="s">
        <v>77</v>
      </c>
      <c r="B24" s="38">
        <f>aantalw2001_steenkool</f>
        <v>58</v>
      </c>
      <c r="C24" s="169" t="s">
        <v>111</v>
      </c>
      <c r="D24" s="232"/>
      <c r="E24" s="16"/>
    </row>
    <row r="25" spans="1:7">
      <c r="A25" s="174" t="s">
        <v>78</v>
      </c>
      <c r="B25" s="38">
        <f>aantalw2001_stookolie</f>
        <v>2056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4091</v>
      </c>
      <c r="C28" s="37"/>
      <c r="D28" s="231"/>
    </row>
    <row r="29" spans="1:7" s="16" customFormat="1">
      <c r="A29" s="233" t="s">
        <v>666</v>
      </c>
      <c r="B29" s="38">
        <f>SUM(HH_hh_gas_aantal,HH_rest_gas_aantal)</f>
        <v>1887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1887</v>
      </c>
      <c r="C32" s="170">
        <f>IF(ISERROR(B32/SUM($B$32,$B$34,$B$35,$B$36,$B$38,$B$39)*100),0,B32/SUM($B$32,$B$34,$B$35,$B$36,$B$38,$B$39)*100)</f>
        <v>46.1820851688693</v>
      </c>
      <c r="D32" s="236"/>
      <c r="G32" s="16"/>
    </row>
    <row r="33" spans="1:7">
      <c r="A33" s="174" t="s">
        <v>72</v>
      </c>
      <c r="B33" s="35" t="s">
        <v>111</v>
      </c>
      <c r="C33" s="170"/>
      <c r="D33" s="236"/>
      <c r="G33" s="16"/>
    </row>
    <row r="34" spans="1:7">
      <c r="A34" s="174" t="s">
        <v>73</v>
      </c>
      <c r="B34" s="34">
        <f>IF((($B$28-$B$32-$B$39-$B$77-$B$38)*C20/100)&lt;0,0,($B$28-$B$32-$B$39-$B$77-$B$38)*C20/100)</f>
        <v>66.706073446327693</v>
      </c>
      <c r="C34" s="170">
        <f>IF(ISERROR(B34/SUM($B$32,$B$34,$B$35,$B$36,$B$38,$B$39)*100),0,B34/SUM($B$32,$B$34,$B$35,$B$36,$B$38,$B$39)*100)</f>
        <v>1.6325519688283818</v>
      </c>
      <c r="D34" s="236"/>
      <c r="G34" s="16"/>
    </row>
    <row r="35" spans="1:7">
      <c r="A35" s="174" t="s">
        <v>74</v>
      </c>
      <c r="B35" s="34">
        <f>IF((($B$28-$B$32-$B$39-$B$77-$B$38)*C21/100)&lt;0,0,($B$28-$B$32-$B$39-$B$77-$B$38)*C21/100)</f>
        <v>1011.9799435028249</v>
      </c>
      <c r="C35" s="170">
        <f>IF(ISERROR(B35/SUM($B$32,$B$34,$B$35,$B$36,$B$38,$B$39)*100),0,B35/SUM($B$32,$B$34,$B$35,$B$36,$B$38,$B$39)*100)</f>
        <v>24.767007917347645</v>
      </c>
      <c r="D35" s="236"/>
      <c r="G35" s="16"/>
    </row>
    <row r="36" spans="1:7">
      <c r="A36" s="174" t="s">
        <v>75</v>
      </c>
      <c r="B36" s="34">
        <f>IF((($B$28-$B$32-$B$39-$B$77-$B$38)*C22/100)&lt;0,0,($B$28-$B$32-$B$39-$B$77-$B$38)*C22/100)</f>
        <v>73.21398305084746</v>
      </c>
      <c r="C36" s="170">
        <f>IF(ISERROR(B36/SUM($B$32,$B$34,$B$35,$B$36,$B$38,$B$39)*100),0,B36/SUM($B$32,$B$34,$B$35,$B$36,$B$38,$B$39)*100)</f>
        <v>1.7918253316409067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1047.0999999999999</v>
      </c>
      <c r="C39" s="170">
        <f>IF(ISERROR(B39/SUM($B$32,$B$34,$B$35,$B$36,$B$38,$B$39)*100),0,B39/SUM($B$32,$B$34,$B$35,$B$36,$B$38,$B$39)*100)</f>
        <v>25.626529613313746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1887</v>
      </c>
      <c r="C44" s="35" t="s">
        <v>111</v>
      </c>
      <c r="D44" s="177"/>
    </row>
    <row r="45" spans="1:7">
      <c r="A45" s="174" t="s">
        <v>72</v>
      </c>
      <c r="B45" s="34" t="str">
        <f t="shared" si="0"/>
        <v>-</v>
      </c>
      <c r="C45" s="35" t="s">
        <v>111</v>
      </c>
      <c r="D45" s="177"/>
    </row>
    <row r="46" spans="1:7">
      <c r="A46" s="174" t="s">
        <v>73</v>
      </c>
      <c r="B46" s="34">
        <f t="shared" si="0"/>
        <v>66.706073446327693</v>
      </c>
      <c r="C46" s="35" t="s">
        <v>111</v>
      </c>
      <c r="D46" s="177"/>
    </row>
    <row r="47" spans="1:7">
      <c r="A47" s="174" t="s">
        <v>74</v>
      </c>
      <c r="B47" s="34">
        <f t="shared" si="0"/>
        <v>1011.9799435028249</v>
      </c>
      <c r="C47" s="35" t="s">
        <v>111</v>
      </c>
      <c r="D47" s="177"/>
    </row>
    <row r="48" spans="1:7">
      <c r="A48" s="174" t="s">
        <v>75</v>
      </c>
      <c r="B48" s="34">
        <f t="shared" si="0"/>
        <v>73.21398305084746</v>
      </c>
      <c r="C48" s="34">
        <f>B48*10</f>
        <v>732.13983050847457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1047.0999999999999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6421.5541444952896</v>
      </c>
      <c r="C5" s="18">
        <f>IF(ISERROR('Eigen informatie GS &amp; warmtenet'!B58),0,'Eigen informatie GS &amp; warmtenet'!B58)</f>
        <v>0</v>
      </c>
      <c r="D5" s="31">
        <f>SUM(D6:D12)</f>
        <v>8810.0739912488134</v>
      </c>
      <c r="E5" s="18">
        <f>SUM(E6:E12)</f>
        <v>64.14081970682102</v>
      </c>
      <c r="F5" s="18">
        <f>SUM(F6:F12)</f>
        <v>1256.1643301882013</v>
      </c>
      <c r="G5" s="19"/>
      <c r="H5" s="18"/>
      <c r="I5" s="18"/>
      <c r="J5" s="18">
        <f>SUM(J6:J12)</f>
        <v>0</v>
      </c>
      <c r="K5" s="18"/>
      <c r="L5" s="18"/>
      <c r="M5" s="18"/>
      <c r="N5" s="18">
        <f>SUM(N6:N12)</f>
        <v>418.75072227342571</v>
      </c>
      <c r="O5" s="18">
        <f>B38*B39*B40</f>
        <v>0</v>
      </c>
      <c r="P5" s="18">
        <f>B46*B47*B48/1000-B46*B47*B48/1000/B49</f>
        <v>0</v>
      </c>
      <c r="R5" s="33"/>
    </row>
    <row r="6" spans="1:18">
      <c r="A6" s="33" t="s">
        <v>54</v>
      </c>
      <c r="B6" s="38">
        <f>B26</f>
        <v>2177.6030155076101</v>
      </c>
      <c r="C6" s="34"/>
      <c r="D6" s="38">
        <f>IF(ISERROR(TER_kantoor_gas_kWh/1000),0,TER_kantoor_gas_kWh/1000)*0.902</f>
        <v>3944.8640155731782</v>
      </c>
      <c r="E6" s="34">
        <f>$C$26*'E Balans VL '!I12/100/3.6*1000000</f>
        <v>3.5738878959878964</v>
      </c>
      <c r="F6" s="34">
        <f>$C$26*('E Balans VL '!L12+'E Balans VL '!N12)/100/3.6*1000000</f>
        <v>256.68815931175169</v>
      </c>
      <c r="G6" s="35"/>
      <c r="H6" s="34"/>
      <c r="I6" s="34"/>
      <c r="J6" s="34">
        <f>$C$26*('E Balans VL '!D12+'E Balans VL '!E12)/100/3.6*1000000</f>
        <v>0</v>
      </c>
      <c r="K6" s="34"/>
      <c r="L6" s="34"/>
      <c r="M6" s="34"/>
      <c r="N6" s="34">
        <f>$C$26*'E Balans VL '!Y12/100/3.6*1000000</f>
        <v>0.43997437748883439</v>
      </c>
      <c r="O6" s="34"/>
      <c r="P6" s="34"/>
      <c r="R6" s="33"/>
    </row>
    <row r="7" spans="1:18">
      <c r="A7" s="33" t="s">
        <v>53</v>
      </c>
      <c r="B7" s="38">
        <f t="shared" ref="B7:B12" si="0">B27</f>
        <v>727.83572562133998</v>
      </c>
      <c r="C7" s="34"/>
      <c r="D7" s="38">
        <f>IF(ISERROR(TER_horeca_gas_kWh/1000),0,TER_horeca_gas_kWh/1000)*0.902</f>
        <v>629.40656859560715</v>
      </c>
      <c r="E7" s="34">
        <f>$C$27*'E Balans VL '!I9/100/3.6*1000000</f>
        <v>37.769407427733086</v>
      </c>
      <c r="F7" s="34">
        <f>$C$27*('E Balans VL '!L9+'E Balans VL '!N9)/100/3.6*1000000</f>
        <v>166.09264070700979</v>
      </c>
      <c r="G7" s="35"/>
      <c r="H7" s="34"/>
      <c r="I7" s="34"/>
      <c r="J7" s="34">
        <f>$C$27*('E Balans VL '!D9+'E Balans VL '!E9)/100/3.6*1000000</f>
        <v>0</v>
      </c>
      <c r="K7" s="34"/>
      <c r="L7" s="34"/>
      <c r="M7" s="34"/>
      <c r="N7" s="34">
        <f>$C$27*'E Balans VL '!Y9/100/3.6*1000000</f>
        <v>7.6859119080340543E-2</v>
      </c>
      <c r="O7" s="34"/>
      <c r="P7" s="34"/>
      <c r="R7" s="33"/>
    </row>
    <row r="8" spans="1:18">
      <c r="A8" s="6" t="s">
        <v>52</v>
      </c>
      <c r="B8" s="38">
        <f t="shared" si="0"/>
        <v>1169.3691976953301</v>
      </c>
      <c r="C8" s="34"/>
      <c r="D8" s="38">
        <f>IF(ISERROR(TER_handel_gas_kWh/1000),0,TER_handel_gas_kWh/1000)*0.902</f>
        <v>687.49799792705403</v>
      </c>
      <c r="E8" s="34">
        <f>$C$28*'E Balans VL '!I13/100/3.6*1000000</f>
        <v>6.2971968259649564</v>
      </c>
      <c r="F8" s="34">
        <f>$C$28*('E Balans VL '!L13+'E Balans VL '!N13)/100/3.6*1000000</f>
        <v>238.46912993276621</v>
      </c>
      <c r="G8" s="35"/>
      <c r="H8" s="34"/>
      <c r="I8" s="34"/>
      <c r="J8" s="34">
        <f>$C$28*('E Balans VL '!D13+'E Balans VL '!E13)/100/3.6*1000000</f>
        <v>0</v>
      </c>
      <c r="K8" s="34"/>
      <c r="L8" s="34"/>
      <c r="M8" s="34"/>
      <c r="N8" s="34">
        <f>$C$28*'E Balans VL '!Y13/100/3.6*1000000</f>
        <v>5.8146554939580577</v>
      </c>
      <c r="O8" s="34"/>
      <c r="P8" s="34"/>
      <c r="R8" s="33"/>
    </row>
    <row r="9" spans="1:18">
      <c r="A9" s="33" t="s">
        <v>51</v>
      </c>
      <c r="B9" s="38">
        <f t="shared" si="0"/>
        <v>217.01756014688399</v>
      </c>
      <c r="C9" s="34"/>
      <c r="D9" s="38">
        <f>IF(ISERROR(TER_gezond_gas_kWh/1000),0,TER_gezond_gas_kWh/1000)*0.902</f>
        <v>193.93483272350599</v>
      </c>
      <c r="E9" s="34">
        <f>$C$29*'E Balans VL '!I10/100/3.6*1000000</f>
        <v>0.21506687001904232</v>
      </c>
      <c r="F9" s="34">
        <f>$C$29*('E Balans VL '!L10+'E Balans VL '!N10)/100/3.6*1000000</f>
        <v>75.298838079777752</v>
      </c>
      <c r="G9" s="35"/>
      <c r="H9" s="34"/>
      <c r="I9" s="34"/>
      <c r="J9" s="34">
        <f>$C$29*('E Balans VL '!D10+'E Balans VL '!E10)/100/3.6*1000000</f>
        <v>0</v>
      </c>
      <c r="K9" s="34"/>
      <c r="L9" s="34"/>
      <c r="M9" s="34"/>
      <c r="N9" s="34">
        <f>$C$29*'E Balans VL '!Y10/100/3.6*1000000</f>
        <v>1.8700215156445974</v>
      </c>
      <c r="O9" s="34"/>
      <c r="P9" s="34"/>
      <c r="R9" s="33"/>
    </row>
    <row r="10" spans="1:18">
      <c r="A10" s="33" t="s">
        <v>50</v>
      </c>
      <c r="B10" s="38">
        <f t="shared" si="0"/>
        <v>557.556660477489</v>
      </c>
      <c r="C10" s="34"/>
      <c r="D10" s="38">
        <f>IF(ISERROR(TER_ander_gas_kWh/1000),0,TER_ander_gas_kWh/1000)*0.902</f>
        <v>156.26330651933483</v>
      </c>
      <c r="E10" s="34">
        <f>$C$30*'E Balans VL '!I14/100/3.6*1000000</f>
        <v>4.5613707209027075</v>
      </c>
      <c r="F10" s="34">
        <f>$C$30*('E Balans VL '!L14+'E Balans VL '!N14)/100/3.6*1000000</f>
        <v>163.00686845185368</v>
      </c>
      <c r="G10" s="35"/>
      <c r="H10" s="34"/>
      <c r="I10" s="34"/>
      <c r="J10" s="34">
        <f>$C$30*('E Balans VL '!D14+'E Balans VL '!E14)/100/3.6*1000000</f>
        <v>0</v>
      </c>
      <c r="K10" s="34"/>
      <c r="L10" s="34"/>
      <c r="M10" s="34"/>
      <c r="N10" s="34">
        <f>$C$30*'E Balans VL '!Y14/100/3.6*1000000</f>
        <v>321.63703548024557</v>
      </c>
      <c r="O10" s="34"/>
      <c r="P10" s="34"/>
      <c r="R10" s="33"/>
    </row>
    <row r="11" spans="1:18">
      <c r="A11" s="33" t="s">
        <v>55</v>
      </c>
      <c r="B11" s="38">
        <f t="shared" si="0"/>
        <v>231.83145290371701</v>
      </c>
      <c r="C11" s="34"/>
      <c r="D11" s="38">
        <f>IF(ISERROR(TER_onderwijs_gas_kWh/1000),0,TER_onderwijs_gas_kWh/1000)*0.902</f>
        <v>240.52944315503797</v>
      </c>
      <c r="E11" s="34">
        <f>$C$31*'E Balans VL '!I11/100/3.6*1000000</f>
        <v>0.14289112562968437</v>
      </c>
      <c r="F11" s="34">
        <f>$C$31*('E Balans VL '!L11+'E Balans VL '!N11)/100/3.6*1000000</f>
        <v>89.629794126293532</v>
      </c>
      <c r="G11" s="35"/>
      <c r="H11" s="34"/>
      <c r="I11" s="34"/>
      <c r="J11" s="34">
        <f>$C$31*('E Balans VL '!D11+'E Balans VL '!E11)/100/3.6*1000000</f>
        <v>0</v>
      </c>
      <c r="K11" s="34"/>
      <c r="L11" s="34"/>
      <c r="M11" s="34"/>
      <c r="N11" s="34">
        <f>$C$31*'E Balans VL '!Y11/100/3.6*1000000</f>
        <v>0.75409803587618285</v>
      </c>
      <c r="O11" s="34"/>
      <c r="P11" s="34"/>
      <c r="R11" s="33"/>
    </row>
    <row r="12" spans="1:18">
      <c r="A12" s="33" t="s">
        <v>260</v>
      </c>
      <c r="B12" s="38">
        <f t="shared" si="0"/>
        <v>1340.34053214292</v>
      </c>
      <c r="C12" s="34"/>
      <c r="D12" s="38">
        <f>IF(ISERROR(TER_rest_gas_kWh/1000),0,TER_rest_gas_kWh/1000)*0.902</f>
        <v>2957.5778267550959</v>
      </c>
      <c r="E12" s="34">
        <f>$C$32*'E Balans VL '!I8/100/3.6*1000000</f>
        <v>11.580998840583643</v>
      </c>
      <c r="F12" s="34">
        <f>$C$32*('E Balans VL '!L8+'E Balans VL '!N8)/100/3.6*1000000</f>
        <v>266.97889957874867</v>
      </c>
      <c r="G12" s="35"/>
      <c r="H12" s="34"/>
      <c r="I12" s="34"/>
      <c r="J12" s="34">
        <f>$C$32*('E Balans VL '!D8+'E Balans VL '!E8)/100/3.6*1000000</f>
        <v>0</v>
      </c>
      <c r="K12" s="34"/>
      <c r="L12" s="34"/>
      <c r="M12" s="34"/>
      <c r="N12" s="34">
        <f>$C$32*'E Balans VL '!Y8/100/3.6*1000000</f>
        <v>88.158078251132125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6421.5541444952896</v>
      </c>
      <c r="C16" s="22">
        <f t="shared" ca="1" si="1"/>
        <v>0</v>
      </c>
      <c r="D16" s="22">
        <f t="shared" ca="1" si="1"/>
        <v>8810.0739912488134</v>
      </c>
      <c r="E16" s="22">
        <f t="shared" si="1"/>
        <v>64.14081970682102</v>
      </c>
      <c r="F16" s="22">
        <f t="shared" ca="1" si="1"/>
        <v>1256.1643301882013</v>
      </c>
      <c r="G16" s="22">
        <f t="shared" si="1"/>
        <v>0</v>
      </c>
      <c r="H16" s="22">
        <f t="shared" si="1"/>
        <v>0</v>
      </c>
      <c r="I16" s="22">
        <f t="shared" si="1"/>
        <v>0</v>
      </c>
      <c r="J16" s="22">
        <f t="shared" si="1"/>
        <v>0</v>
      </c>
      <c r="K16" s="22">
        <f t="shared" si="1"/>
        <v>0</v>
      </c>
      <c r="L16" s="22">
        <f t="shared" ca="1" si="1"/>
        <v>0</v>
      </c>
      <c r="M16" s="22">
        <f t="shared" si="1"/>
        <v>0</v>
      </c>
      <c r="N16" s="22">
        <f t="shared" ca="1" si="1"/>
        <v>418.75072227342571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0.20693519522300668</v>
      </c>
      <c r="C18" s="26">
        <f ca="1">'EF ele_warmte'!B22</f>
        <v>0.2244444444444445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1328.8455605262404</v>
      </c>
      <c r="C20" s="24">
        <f t="shared" ref="C20:P20" ca="1" si="2">C16*C18</f>
        <v>0</v>
      </c>
      <c r="D20" s="24">
        <f t="shared" ca="1" si="2"/>
        <v>1779.6349462322605</v>
      </c>
      <c r="E20" s="24">
        <f t="shared" si="2"/>
        <v>14.559966073448372</v>
      </c>
      <c r="F20" s="24">
        <f t="shared" ca="1" si="2"/>
        <v>335.39587616024977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2177.6030155076101</v>
      </c>
      <c r="C26" s="40">
        <f>IF(ISERROR(B26*3.6/1000000/'E Balans VL '!Z12*100),0,B26*3.6/1000000/'E Balans VL '!Z12*100)</f>
        <v>4.627250245281344E-2</v>
      </c>
      <c r="D26" s="240" t="s">
        <v>707</v>
      </c>
      <c r="F26" s="6"/>
    </row>
    <row r="27" spans="1:18">
      <c r="A27" s="234" t="s">
        <v>53</v>
      </c>
      <c r="B27" s="34">
        <f>IF(ISERROR(TER_horeca_ele_kWh/1000),0,TER_horeca_ele_kWh/1000)</f>
        <v>727.83572562133998</v>
      </c>
      <c r="C27" s="40">
        <f>IF(ISERROR(B27*3.6/1000000/'E Balans VL '!Z9*100),0,B27*3.6/1000000/'E Balans VL '!Z9*100)</f>
        <v>5.728629993565755E-2</v>
      </c>
      <c r="D27" s="240" t="s">
        <v>707</v>
      </c>
      <c r="F27" s="6"/>
    </row>
    <row r="28" spans="1:18">
      <c r="A28" s="174" t="s">
        <v>52</v>
      </c>
      <c r="B28" s="34">
        <f>IF(ISERROR(TER_handel_ele_kWh/1000),0,TER_handel_ele_kWh/1000)</f>
        <v>1169.3691976953301</v>
      </c>
      <c r="C28" s="40">
        <f>IF(ISERROR(B28*3.6/1000000/'E Balans VL '!Z13*100),0,B28*3.6/1000000/'E Balans VL '!Z13*100)</f>
        <v>3.2754657049133544E-2</v>
      </c>
      <c r="D28" s="240" t="s">
        <v>707</v>
      </c>
      <c r="F28" s="6"/>
    </row>
    <row r="29" spans="1:18">
      <c r="A29" s="234" t="s">
        <v>51</v>
      </c>
      <c r="B29" s="34">
        <f>IF(ISERROR(TER_gezond_ele_kWh/1000),0,TER_gezond_ele_kWh/1000)</f>
        <v>217.01756014688399</v>
      </c>
      <c r="C29" s="40">
        <f>IF(ISERROR(B29*3.6/1000000/'E Balans VL '!Z10*100),0,B29*3.6/1000000/'E Balans VL '!Z10*100)</f>
        <v>2.7763108289510785E-2</v>
      </c>
      <c r="D29" s="240" t="s">
        <v>707</v>
      </c>
      <c r="F29" s="6"/>
    </row>
    <row r="30" spans="1:18">
      <c r="A30" s="234" t="s">
        <v>50</v>
      </c>
      <c r="B30" s="34">
        <f>IF(ISERROR(TER_ander_ele_kWh/1000),0,TER_ander_ele_kWh/1000)</f>
        <v>557.556660477489</v>
      </c>
      <c r="C30" s="40">
        <f>IF(ISERROR(B30*3.6/1000000/'E Balans VL '!Z14*100),0,B30*3.6/1000000/'E Balans VL '!Z14*100)</f>
        <v>4.1700540149225147E-2</v>
      </c>
      <c r="D30" s="240" t="s">
        <v>707</v>
      </c>
      <c r="F30" s="6"/>
    </row>
    <row r="31" spans="1:18">
      <c r="A31" s="234" t="s">
        <v>55</v>
      </c>
      <c r="B31" s="34">
        <f>IF(ISERROR(TER_onderwijs_ele_kWh/1000),0,TER_onderwijs_ele_kWh/1000)</f>
        <v>231.83145290371701</v>
      </c>
      <c r="C31" s="40">
        <f>IF(ISERROR(B31*3.6/1000000/'E Balans VL '!Z11*100),0,B31*3.6/1000000/'E Balans VL '!Z11*100)</f>
        <v>4.8951511579109562E-2</v>
      </c>
      <c r="D31" s="240" t="s">
        <v>707</v>
      </c>
    </row>
    <row r="32" spans="1:18">
      <c r="A32" s="234" t="s">
        <v>260</v>
      </c>
      <c r="B32" s="34">
        <f>IF(ISERROR(TER_rest_ele_kWh/1000),0,TER_rest_ele_kWh/1000)</f>
        <v>1340.34053214292</v>
      </c>
      <c r="C32" s="40">
        <f>IF(ISERROR(B32*3.6/1000000/'E Balans VL '!Z8*100),0,B32*3.6/1000000/'E Balans VL '!Z8*100)</f>
        <v>1.1041634248348624E-2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1134.9153667306339</v>
      </c>
      <c r="C5" s="18">
        <f>IF(ISERROR('Eigen informatie GS &amp; warmtenet'!B59),0,'Eigen informatie GS &amp; warmtenet'!B59)</f>
        <v>0</v>
      </c>
      <c r="D5" s="31">
        <f>SUM(D6:D15)</f>
        <v>600.88224198447529</v>
      </c>
      <c r="E5" s="18">
        <f>SUM(E6:E15)</f>
        <v>8.6583726992694565</v>
      </c>
      <c r="F5" s="18">
        <f>SUM(F6:F15)</f>
        <v>522.35697396159128</v>
      </c>
      <c r="G5" s="19"/>
      <c r="H5" s="18"/>
      <c r="I5" s="18"/>
      <c r="J5" s="18">
        <f>SUM(J6:J15)</f>
        <v>2.3441587306244926</v>
      </c>
      <c r="K5" s="18"/>
      <c r="L5" s="18"/>
      <c r="M5" s="18"/>
      <c r="N5" s="18">
        <f>SUM(N6:N15)</f>
        <v>55.860016347794648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521.76536201097895</v>
      </c>
      <c r="C9" s="34"/>
      <c r="D9" s="38">
        <f>IF( ISERROR(IND_andere_gas_kWh/1000),0,IND_andere_gas_kWh/1000)*0.902</f>
        <v>202.17077905343615</v>
      </c>
      <c r="E9" s="34">
        <f>C31*'E Balans VL '!I19/100/3.6*1000000</f>
        <v>3.0158817638075659</v>
      </c>
      <c r="F9" s="34">
        <f>C31*'E Balans VL '!L19/100/3.6*1000000+C31*'E Balans VL '!N19/100/3.6*1000000</f>
        <v>415.0894518354587</v>
      </c>
      <c r="G9" s="35"/>
      <c r="H9" s="34"/>
      <c r="I9" s="34"/>
      <c r="J9" s="41">
        <f>C31*'E Balans VL '!D19/100/3.6*1000000+C31*'E Balans VL '!E19/100/3.6*1000000</f>
        <v>4.9353207640750955E-2</v>
      </c>
      <c r="K9" s="34"/>
      <c r="L9" s="34"/>
      <c r="M9" s="34"/>
      <c r="N9" s="34">
        <f>C31*'E Balans VL '!Y19/100/3.6*1000000</f>
        <v>39.531622207867628</v>
      </c>
      <c r="O9" s="34"/>
      <c r="P9" s="34"/>
      <c r="R9" s="33"/>
    </row>
    <row r="10" spans="1:18">
      <c r="A10" s="6" t="s">
        <v>41</v>
      </c>
      <c r="B10" s="38">
        <f t="shared" si="0"/>
        <v>156.93769507339201</v>
      </c>
      <c r="C10" s="34"/>
      <c r="D10" s="38">
        <f>IF( ISERROR(IND_voed_gas_kWh/1000),0,IND_voed_gas_kWh/1000)*0.902</f>
        <v>0</v>
      </c>
      <c r="E10" s="34">
        <f>C32*'E Balans VL '!I20/100/3.6*1000000</f>
        <v>1.5431081153287369</v>
      </c>
      <c r="F10" s="34">
        <f>C32*'E Balans VL '!L20/100/3.6*1000000+C32*'E Balans VL '!N20/100/3.6*1000000</f>
        <v>17.429979489825605</v>
      </c>
      <c r="G10" s="35"/>
      <c r="H10" s="34"/>
      <c r="I10" s="34"/>
      <c r="J10" s="41">
        <f>C32*'E Balans VL '!D20/100/3.6*1000000+C32*'E Balans VL '!E20/100/3.6*1000000</f>
        <v>6.1856270171079973E-4</v>
      </c>
      <c r="K10" s="34"/>
      <c r="L10" s="34"/>
      <c r="M10" s="34"/>
      <c r="N10" s="34">
        <f>C32*'E Balans VL '!Y20/100/3.6*1000000</f>
        <v>2.3238781076661885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456.21230964626301</v>
      </c>
      <c r="C15" s="34"/>
      <c r="D15" s="38">
        <f>IF( ISERROR(IND_rest_gas_kWh/1000),0,IND_rest_gas_kWh/1000)*0.902</f>
        <v>398.71146293103908</v>
      </c>
      <c r="E15" s="34">
        <f>C37*'E Balans VL '!I15/100/3.6*1000000</f>
        <v>4.0993828201331537</v>
      </c>
      <c r="F15" s="34">
        <f>C37*'E Balans VL '!L15/100/3.6*1000000+C37*'E Balans VL '!N15/100/3.6*1000000</f>
        <v>89.837542636306935</v>
      </c>
      <c r="G15" s="35"/>
      <c r="H15" s="34"/>
      <c r="I15" s="34"/>
      <c r="J15" s="41">
        <f>C37*'E Balans VL '!D15/100/3.6*1000000+C37*'E Balans VL '!E15/100/3.6*1000000</f>
        <v>2.2941869602820311</v>
      </c>
      <c r="K15" s="34"/>
      <c r="L15" s="34"/>
      <c r="M15" s="34"/>
      <c r="N15" s="34">
        <f>C37*'E Balans VL '!Y15/100/3.6*1000000</f>
        <v>14.004516032260833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1134.9153667306339</v>
      </c>
      <c r="C18" s="22">
        <f>C5+C16</f>
        <v>0</v>
      </c>
      <c r="D18" s="22">
        <f>MAX((D5+D16),0)</f>
        <v>600.88224198447529</v>
      </c>
      <c r="E18" s="22">
        <f>MAX((E5+E16),0)</f>
        <v>8.6583726992694565</v>
      </c>
      <c r="F18" s="22">
        <f>MAX((F5+F16),0)</f>
        <v>522.35697396159128</v>
      </c>
      <c r="G18" s="22"/>
      <c r="H18" s="22"/>
      <c r="I18" s="22"/>
      <c r="J18" s="22">
        <f>MAX((J5+J16),0)</f>
        <v>2.3441587306244926</v>
      </c>
      <c r="K18" s="22"/>
      <c r="L18" s="22">
        <f>MAX((L5+L16),0)</f>
        <v>0</v>
      </c>
      <c r="M18" s="22"/>
      <c r="N18" s="22">
        <f>MAX((N5+N16),0)</f>
        <v>55.860016347794648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0.20693519522300668</v>
      </c>
      <c r="C20" s="26">
        <f ca="1">'EF ele_warmte'!B22</f>
        <v>0.2244444444444445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234.85393297599396</v>
      </c>
      <c r="C22" s="24">
        <f ca="1">C18*C20</f>
        <v>0</v>
      </c>
      <c r="D22" s="24">
        <f>D18*D20</f>
        <v>121.37821288086401</v>
      </c>
      <c r="E22" s="24">
        <f>E18*E20</f>
        <v>1.9654506027341667</v>
      </c>
      <c r="F22" s="24">
        <f>F18*F20</f>
        <v>139.46931204774489</v>
      </c>
      <c r="G22" s="24"/>
      <c r="H22" s="24"/>
      <c r="I22" s="24"/>
      <c r="J22" s="24">
        <f>J18*J20</f>
        <v>0.82983219064107039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521.76536201097895</v>
      </c>
      <c r="C31" s="40">
        <f>IF(ISERROR(B31*3.6/1000000/'E Balans VL '!Z19*100),0,B31*3.6/1000000/'E Balans VL '!Z19*100)</f>
        <v>2.4255501366102859E-2</v>
      </c>
      <c r="D31" s="240" t="s">
        <v>707</v>
      </c>
    </row>
    <row r="32" spans="1:18">
      <c r="A32" s="174" t="s">
        <v>41</v>
      </c>
      <c r="B32" s="38">
        <f>IF( ISERROR(IND_voed_ele_kWh/1000),0,IND_voed_ele_kWh/1000)</f>
        <v>156.93769507339201</v>
      </c>
      <c r="C32" s="40">
        <f>IF(ISERROR(B32*3.6/1000000/'E Balans VL '!Z20*100),0,B32*3.6/1000000/'E Balans VL '!Z20*100)</f>
        <v>5.5474305717462735E-3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456.21230964626301</v>
      </c>
      <c r="C37" s="40">
        <f>IF(ISERROR(B37*3.6/1000000/'E Balans VL '!Z15*100),0,B37*3.6/1000000/'E Balans VL '!Z15*100)</f>
        <v>3.4450768653185564E-3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590.90681983293143</v>
      </c>
      <c r="C5" s="18">
        <f>'Eigen informatie GS &amp; warmtenet'!B60</f>
        <v>0</v>
      </c>
      <c r="D5" s="31">
        <f>IF(ISERROR(SUM(LB_lb_gas_kWh,LB_rest_gas_kWh)/1000),0,SUM(LB_lb_gas_kWh,LB_rest_gas_kWh)/1000)*0.902</f>
        <v>1170.079826724645</v>
      </c>
      <c r="E5" s="18">
        <f>B17*'E Balans VL '!I25/3.6*1000000/100</f>
        <v>5.5667381633829214</v>
      </c>
      <c r="F5" s="18">
        <f>B17*('E Balans VL '!L25/3.6*1000000+'E Balans VL '!N25/3.6*1000000)/100</f>
        <v>1928.3250578657985</v>
      </c>
      <c r="G5" s="19"/>
      <c r="H5" s="18"/>
      <c r="I5" s="18"/>
      <c r="J5" s="18">
        <f>('E Balans VL '!D25+'E Balans VL '!E25)/3.6*1000000*landbouw!B17/100</f>
        <v>73.09804778355317</v>
      </c>
      <c r="K5" s="18"/>
      <c r="L5" s="18">
        <f>L6*(-1)</f>
        <v>0</v>
      </c>
      <c r="M5" s="18"/>
      <c r="N5" s="18">
        <f>N6*(-1)</f>
        <v>0</v>
      </c>
      <c r="O5" s="18"/>
      <c r="P5" s="18"/>
      <c r="R5" s="33"/>
    </row>
    <row r="6" spans="1:18">
      <c r="A6" s="17" t="s">
        <v>502</v>
      </c>
      <c r="B6" s="18" t="s">
        <v>211</v>
      </c>
      <c r="C6" s="18">
        <f>'lokale energieproductie'!O92+'lokale energieproductie'!O61</f>
        <v>5.2597402597402594</v>
      </c>
      <c r="D6" s="312">
        <f>('lokale energieproductie'!P61+'lokale energieproductie'!P92)*(-1)</f>
        <v>-7.0129870129870131</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590.90681983293143</v>
      </c>
      <c r="C8" s="22">
        <f>C5+C6</f>
        <v>5.2597402597402594</v>
      </c>
      <c r="D8" s="22">
        <f>MAX((D5+D6),0)</f>
        <v>1163.0668397116581</v>
      </c>
      <c r="E8" s="22">
        <f>MAX((E5+E6),0)</f>
        <v>5.5667381633829214</v>
      </c>
      <c r="F8" s="22">
        <f>MAX((F5+F6),0)</f>
        <v>1928.3250578657985</v>
      </c>
      <c r="G8" s="22"/>
      <c r="H8" s="22"/>
      <c r="I8" s="22"/>
      <c r="J8" s="22">
        <f>MAX((J5+J6),0)</f>
        <v>73.09804778355317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0.20693519522300668</v>
      </c>
      <c r="C10" s="32">
        <f ca="1">'EF ele_warmte'!B22</f>
        <v>0.2244444444444445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122.27941812073371</v>
      </c>
      <c r="C12" s="24">
        <f ca="1">C8*C10</f>
        <v>1.1805194805194807</v>
      </c>
      <c r="D12" s="24">
        <f>D8*D10</f>
        <v>234.93950162175494</v>
      </c>
      <c r="E12" s="24">
        <f>E8*E10</f>
        <v>1.2636495630879232</v>
      </c>
      <c r="F12" s="24">
        <f>F8*F10</f>
        <v>514.86279045016818</v>
      </c>
      <c r="G12" s="24"/>
      <c r="H12" s="24"/>
      <c r="I12" s="24"/>
      <c r="J12" s="24">
        <f>J8*J10</f>
        <v>25.876708915377822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7.9999341016242537E-2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97.124043089090577</v>
      </c>
      <c r="C26" s="250">
        <f>B26*'GWP N2O_CH4'!B5</f>
        <v>2039.6049048709021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24.206639567627491</v>
      </c>
      <c r="C27" s="250">
        <f>B27*'GWP N2O_CH4'!B5</f>
        <v>508.33943092017728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1.1650970296908905</v>
      </c>
      <c r="C28" s="250">
        <f>B28*'GWP N2O_CH4'!B4</f>
        <v>361.18007920417602</v>
      </c>
      <c r="D28" s="51"/>
    </row>
    <row r="29" spans="1:4">
      <c r="A29" s="42" t="s">
        <v>277</v>
      </c>
      <c r="B29" s="250">
        <f>B34*'ha_N2O bodem landbouw'!B4</f>
        <v>4.654967936894554</v>
      </c>
      <c r="C29" s="250">
        <f>B29*'GWP N2O_CH4'!B4</f>
        <v>1443.0400604373117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1.2566948033287523E-3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1.2275541254811319E-5</v>
      </c>
      <c r="C5" s="447" t="s">
        <v>211</v>
      </c>
      <c r="D5" s="432">
        <f>SUM(D6:D11)</f>
        <v>3.3529253685750084E-5</v>
      </c>
      <c r="E5" s="432">
        <f>SUM(E6:E11)</f>
        <v>2.3103830549421386E-3</v>
      </c>
      <c r="F5" s="445" t="s">
        <v>211</v>
      </c>
      <c r="G5" s="432">
        <f>SUM(G6:G11)</f>
        <v>0.60501064226238288</v>
      </c>
      <c r="H5" s="432">
        <f>SUM(H6:H11)</f>
        <v>7.7835307103061455E-2</v>
      </c>
      <c r="I5" s="447" t="s">
        <v>211</v>
      </c>
      <c r="J5" s="447" t="s">
        <v>211</v>
      </c>
      <c r="K5" s="447" t="s">
        <v>211</v>
      </c>
      <c r="L5" s="447" t="s">
        <v>211</v>
      </c>
      <c r="M5" s="432">
        <f>SUM(M6:M11)</f>
        <v>3.0501910417042727E-2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1.4688052597608126E-6</v>
      </c>
      <c r="C6" s="433"/>
      <c r="D6" s="433">
        <f>vkm_2011_GW_PW*SUMIFS(TableVerdeelsleutelVkm[CNG],TableVerdeelsleutelVkm[Voertuigtype],"Lichte voertuigen")*SUMIFS(TableECFTransport[EnergieConsumptieFactor (PJ per km)],TableECFTransport[Index],CONCATENATE($A6,"_CNG_CNG"))</f>
        <v>3.5868470425739413E-6</v>
      </c>
      <c r="E6" s="435">
        <f>vkm_2011_GW_PW*SUMIFS(TableVerdeelsleutelVkm[LPG],TableVerdeelsleutelVkm[Voertuigtype],"Lichte voertuigen")*SUMIFS(TableECFTransport[EnergieConsumptieFactor (PJ per km)],TableECFTransport[Index],CONCATENATE($A6,"_LPG_LPG"))</f>
        <v>2.1260975635675961E-4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3.0735241311218259E-2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8.0548237405442206E-3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1.7370905493041917E-3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2.5123106638470005E-2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1.0136194061023125E-5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1.1192266277090714E-3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1.4186616030212929E-6</v>
      </c>
      <c r="C8" s="433"/>
      <c r="D8" s="435">
        <f>vkm_2011_NGW_PW*SUMIFS(TableVerdeelsleutelVkm[CNG],TableVerdeelsleutelVkm[Voertuigtype],"Lichte voertuigen")*SUMIFS(TableECFTransport[EnergieConsumptieFactor (PJ per km)],TableECFTransport[Index],CONCATENATE($A8,"_CNG_CNG"))</f>
        <v>6.2157139397100985E-6</v>
      </c>
      <c r="E8" s="435">
        <f>vkm_2011_NGW_PW*SUMIFS(TableVerdeelsleutelVkm[LPG],TableVerdeelsleutelVkm[Voertuigtype],"Lichte voertuigen")*SUMIFS(TableECFTransport[EnergieConsumptieFactor (PJ per km)],TableECFTransport[Index],CONCATENATE($A8,"_LPG_LPG"))</f>
        <v>3.380025330275152E-4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4.6159425257511884E-2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1.3366480009408578E-2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2.6668935397966666E-3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1.4339074715759124E-2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5.0371983353460564E-6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6.3876712730774306E-4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9.3880743920292127E-6</v>
      </c>
      <c r="C10" s="433"/>
      <c r="D10" s="435">
        <f>vkm_2011_SW_PW*SUMIFS(TableVerdeelsleutelVkm[CNG],TableVerdeelsleutelVkm[Voertuigtype],"Lichte voertuigen")*SUMIFS(TableECFTransport[EnergieConsumptieFactor (PJ per km)],TableECFTransport[Index],CONCATENATE($A10,"_CNG_CNG"))</f>
        <v>2.3726692703466042E-5</v>
      </c>
      <c r="E10" s="435">
        <f>vkm_2011_SW_PW*SUMIFS(TableVerdeelsleutelVkm[LPG],TableVerdeelsleutelVkm[Voertuigtype],"Lichte voertuigen")*SUMIFS(TableECFTransport[EnergieConsumptieFactor (PJ per km)],TableECFTransport[Index],CONCATENATE($A10,"_LPG_LPG"))</f>
        <v>1.759770765557864E-3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0.23183995590558601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5.6288900439005057E-2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1.2898666685449773E-2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0.25681383843383754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1.0992952170723219E-4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1.1441265887475278E-2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3.4098725707809217</v>
      </c>
      <c r="C14" s="22"/>
      <c r="D14" s="22">
        <f t="shared" ref="D14:M14" si="0">((D5)*10^9/3600)+D12</f>
        <v>9.3136815793750234</v>
      </c>
      <c r="E14" s="22">
        <f t="shared" si="0"/>
        <v>641.77307081726065</v>
      </c>
      <c r="F14" s="22"/>
      <c r="G14" s="22">
        <f t="shared" si="0"/>
        <v>168058.5117395508</v>
      </c>
      <c r="H14" s="22">
        <f t="shared" si="0"/>
        <v>21620.918639739291</v>
      </c>
      <c r="I14" s="22"/>
      <c r="J14" s="22"/>
      <c r="K14" s="22"/>
      <c r="L14" s="22"/>
      <c r="M14" s="22">
        <f t="shared" si="0"/>
        <v>8472.752893622981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0.20693519522300668</v>
      </c>
      <c r="C16" s="57">
        <f ca="1">'EF ele_warmte'!B22</f>
        <v>0.2244444444444445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0.70562264612012571</v>
      </c>
      <c r="C18" s="24"/>
      <c r="D18" s="24">
        <f t="shared" ref="D18:M18" si="1">D14*D16</f>
        <v>1.8813636790337549</v>
      </c>
      <c r="E18" s="24">
        <f t="shared" si="1"/>
        <v>145.68248707551817</v>
      </c>
      <c r="F18" s="24"/>
      <c r="G18" s="24">
        <f t="shared" si="1"/>
        <v>44871.622634460065</v>
      </c>
      <c r="H18" s="24">
        <f t="shared" si="1"/>
        <v>5383.6087412950837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4.135659342548852E-3</v>
      </c>
      <c r="H50" s="323">
        <f t="shared" si="2"/>
        <v>0</v>
      </c>
      <c r="I50" s="323">
        <f t="shared" si="2"/>
        <v>0</v>
      </c>
      <c r="J50" s="323">
        <f t="shared" si="2"/>
        <v>0</v>
      </c>
      <c r="K50" s="323">
        <f t="shared" si="2"/>
        <v>0</v>
      </c>
      <c r="L50" s="323">
        <f t="shared" si="2"/>
        <v>0</v>
      </c>
      <c r="M50" s="323">
        <f t="shared" si="2"/>
        <v>1.8160362392814151E-4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4.135659342548852E-3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1.8160362392814151E-4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1148.7942618191255</v>
      </c>
      <c r="H54" s="22">
        <f t="shared" si="3"/>
        <v>0</v>
      </c>
      <c r="I54" s="22">
        <f t="shared" si="3"/>
        <v>0</v>
      </c>
      <c r="J54" s="22">
        <f t="shared" si="3"/>
        <v>0</v>
      </c>
      <c r="K54" s="22">
        <f t="shared" si="3"/>
        <v>0</v>
      </c>
      <c r="L54" s="22">
        <f t="shared" si="3"/>
        <v>0</v>
      </c>
      <c r="M54" s="22">
        <f t="shared" si="3"/>
        <v>50.445451091150424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0.20693519522300668</v>
      </c>
      <c r="C56" s="57">
        <f ca="1">'EF ele_warmte'!B22</f>
        <v>0.2244444444444445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306.72806790570655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7345.7131444952893</v>
      </c>
      <c r="D10" s="688">
        <f ca="1">tertiair!C16</f>
        <v>0</v>
      </c>
      <c r="E10" s="688">
        <f ca="1">tertiair!D16</f>
        <v>8810.0739912488134</v>
      </c>
      <c r="F10" s="688">
        <f>tertiair!E16</f>
        <v>64.14081970682102</v>
      </c>
      <c r="G10" s="688">
        <f ca="1">tertiair!F16</f>
        <v>1256.1643301882013</v>
      </c>
      <c r="H10" s="688">
        <f>tertiair!G16</f>
        <v>0</v>
      </c>
      <c r="I10" s="688">
        <f>tertiair!H16</f>
        <v>0</v>
      </c>
      <c r="J10" s="688">
        <f>tertiair!I16</f>
        <v>0</v>
      </c>
      <c r="K10" s="688">
        <f>tertiair!J16</f>
        <v>0</v>
      </c>
      <c r="L10" s="688">
        <f>tertiair!K16</f>
        <v>0</v>
      </c>
      <c r="M10" s="688">
        <f ca="1">tertiair!L16</f>
        <v>0</v>
      </c>
      <c r="N10" s="688">
        <f>tertiair!M16</f>
        <v>0</v>
      </c>
      <c r="O10" s="688">
        <f ca="1">tertiair!N16</f>
        <v>418.75072227342571</v>
      </c>
      <c r="P10" s="688">
        <f>tertiair!O16</f>
        <v>0</v>
      </c>
      <c r="Q10" s="689">
        <f>tertiair!P16</f>
        <v>0</v>
      </c>
      <c r="R10" s="691">
        <f ca="1">SUM(C10:Q10)</f>
        <v>17894.843007912554</v>
      </c>
      <c r="S10" s="68"/>
    </row>
    <row r="11" spans="1:19" s="457" customFormat="1">
      <c r="A11" s="803" t="s">
        <v>225</v>
      </c>
      <c r="B11" s="808"/>
      <c r="C11" s="688">
        <f>huishoudens!B8</f>
        <v>23260.648994818705</v>
      </c>
      <c r="D11" s="688">
        <f>huishoudens!C8</f>
        <v>0</v>
      </c>
      <c r="E11" s="688">
        <f>huishoudens!D8</f>
        <v>33754.912323242141</v>
      </c>
      <c r="F11" s="688">
        <f>huishoudens!E8</f>
        <v>1469.9637184789744</v>
      </c>
      <c r="G11" s="688">
        <f>huishoudens!F8</f>
        <v>20669.632839678987</v>
      </c>
      <c r="H11" s="688">
        <f>huishoudens!G8</f>
        <v>0</v>
      </c>
      <c r="I11" s="688">
        <f>huishoudens!H8</f>
        <v>0</v>
      </c>
      <c r="J11" s="688">
        <f>huishoudens!I8</f>
        <v>0</v>
      </c>
      <c r="K11" s="688">
        <f>huishoudens!J8</f>
        <v>0</v>
      </c>
      <c r="L11" s="688">
        <f>huishoudens!K8</f>
        <v>0</v>
      </c>
      <c r="M11" s="688">
        <f>huishoudens!L8</f>
        <v>0</v>
      </c>
      <c r="N11" s="688">
        <f>huishoudens!M8</f>
        <v>0</v>
      </c>
      <c r="O11" s="688">
        <f>huishoudens!N8</f>
        <v>5239.503167215521</v>
      </c>
      <c r="P11" s="688">
        <f>huishoudens!O8</f>
        <v>93.8</v>
      </c>
      <c r="Q11" s="689">
        <f>huishoudens!P8</f>
        <v>95.333333333333343</v>
      </c>
      <c r="R11" s="691">
        <f>SUM(C11:Q11)</f>
        <v>84583.794376767662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1134.9153667306339</v>
      </c>
      <c r="D13" s="688">
        <f>industrie!C18</f>
        <v>0</v>
      </c>
      <c r="E13" s="688">
        <f>industrie!D18</f>
        <v>600.88224198447529</v>
      </c>
      <c r="F13" s="688">
        <f>industrie!E18</f>
        <v>8.6583726992694565</v>
      </c>
      <c r="G13" s="688">
        <f>industrie!F18</f>
        <v>522.35697396159128</v>
      </c>
      <c r="H13" s="688">
        <f>industrie!G18</f>
        <v>0</v>
      </c>
      <c r="I13" s="688">
        <f>industrie!H18</f>
        <v>0</v>
      </c>
      <c r="J13" s="688">
        <f>industrie!I18</f>
        <v>0</v>
      </c>
      <c r="K13" s="688">
        <f>industrie!J18</f>
        <v>2.3441587306244926</v>
      </c>
      <c r="L13" s="688">
        <f>industrie!K18</f>
        <v>0</v>
      </c>
      <c r="M13" s="688">
        <f>industrie!L18</f>
        <v>0</v>
      </c>
      <c r="N13" s="688">
        <f>industrie!M18</f>
        <v>0</v>
      </c>
      <c r="O13" s="688">
        <f>industrie!N18</f>
        <v>55.860016347794648</v>
      </c>
      <c r="P13" s="688">
        <f>industrie!O18</f>
        <v>0</v>
      </c>
      <c r="Q13" s="689">
        <f>industrie!P18</f>
        <v>0</v>
      </c>
      <c r="R13" s="691">
        <f>SUM(C13:Q13)</f>
        <v>2325.0171304543892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31741.277506044629</v>
      </c>
      <c r="D16" s="721">
        <f t="shared" ref="D16:R16" ca="1" si="0">SUM(D9:D15)</f>
        <v>0</v>
      </c>
      <c r="E16" s="721">
        <f t="shared" ca="1" si="0"/>
        <v>43165.868556475427</v>
      </c>
      <c r="F16" s="721">
        <f t="shared" si="0"/>
        <v>1542.7629108850649</v>
      </c>
      <c r="G16" s="721">
        <f t="shared" ca="1" si="0"/>
        <v>22448.154143828782</v>
      </c>
      <c r="H16" s="721">
        <f t="shared" si="0"/>
        <v>0</v>
      </c>
      <c r="I16" s="721">
        <f t="shared" si="0"/>
        <v>0</v>
      </c>
      <c r="J16" s="721">
        <f t="shared" si="0"/>
        <v>0</v>
      </c>
      <c r="K16" s="721">
        <f t="shared" si="0"/>
        <v>2.3441587306244926</v>
      </c>
      <c r="L16" s="721">
        <f t="shared" si="0"/>
        <v>0</v>
      </c>
      <c r="M16" s="721">
        <f t="shared" ca="1" si="0"/>
        <v>0</v>
      </c>
      <c r="N16" s="721">
        <f t="shared" si="0"/>
        <v>0</v>
      </c>
      <c r="O16" s="721">
        <f t="shared" ca="1" si="0"/>
        <v>5714.1139058367417</v>
      </c>
      <c r="P16" s="721">
        <f t="shared" si="0"/>
        <v>93.8</v>
      </c>
      <c r="Q16" s="721">
        <f t="shared" si="0"/>
        <v>95.333333333333343</v>
      </c>
      <c r="R16" s="721">
        <f t="shared" ca="1" si="0"/>
        <v>104803.65451513461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1148.7942618191255</v>
      </c>
      <c r="I19" s="688">
        <f>transport!H54</f>
        <v>0</v>
      </c>
      <c r="J19" s="688">
        <f>transport!I54</f>
        <v>0</v>
      </c>
      <c r="K19" s="688">
        <f>transport!J54</f>
        <v>0</v>
      </c>
      <c r="L19" s="688">
        <f>transport!K54</f>
        <v>0</v>
      </c>
      <c r="M19" s="688">
        <f>transport!L54</f>
        <v>0</v>
      </c>
      <c r="N19" s="688">
        <f>transport!M54</f>
        <v>50.445451091150424</v>
      </c>
      <c r="O19" s="688">
        <f>transport!N54</f>
        <v>0</v>
      </c>
      <c r="P19" s="688">
        <f>transport!O54</f>
        <v>0</v>
      </c>
      <c r="Q19" s="689">
        <f>transport!P54</f>
        <v>0</v>
      </c>
      <c r="R19" s="691">
        <f>SUM(C19:Q19)</f>
        <v>1199.239712910276</v>
      </c>
      <c r="S19" s="68"/>
    </row>
    <row r="20" spans="1:19" s="457" customFormat="1">
      <c r="A20" s="803" t="s">
        <v>307</v>
      </c>
      <c r="B20" s="808"/>
      <c r="C20" s="688">
        <f>transport!B14</f>
        <v>3.4098725707809217</v>
      </c>
      <c r="D20" s="688">
        <f>transport!C14</f>
        <v>0</v>
      </c>
      <c r="E20" s="688">
        <f>transport!D14</f>
        <v>9.3136815793750234</v>
      </c>
      <c r="F20" s="688">
        <f>transport!E14</f>
        <v>641.77307081726065</v>
      </c>
      <c r="G20" s="688">
        <f>transport!F14</f>
        <v>0</v>
      </c>
      <c r="H20" s="688">
        <f>transport!G14</f>
        <v>168058.5117395508</v>
      </c>
      <c r="I20" s="688">
        <f>transport!H14</f>
        <v>21620.918639739291</v>
      </c>
      <c r="J20" s="688">
        <f>transport!I14</f>
        <v>0</v>
      </c>
      <c r="K20" s="688">
        <f>transport!J14</f>
        <v>0</v>
      </c>
      <c r="L20" s="688">
        <f>transport!K14</f>
        <v>0</v>
      </c>
      <c r="M20" s="688">
        <f>transport!L14</f>
        <v>0</v>
      </c>
      <c r="N20" s="688">
        <f>transport!M14</f>
        <v>8472.752893622981</v>
      </c>
      <c r="O20" s="688">
        <f>transport!N14</f>
        <v>0</v>
      </c>
      <c r="P20" s="688">
        <f>transport!O14</f>
        <v>0</v>
      </c>
      <c r="Q20" s="689">
        <f>transport!P14</f>
        <v>0</v>
      </c>
      <c r="R20" s="691">
        <f>SUM(C20:Q20)</f>
        <v>198806.6798978805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3.4098725707809217</v>
      </c>
      <c r="D22" s="806">
        <f t="shared" ref="D22:R22" si="1">SUM(D18:D21)</f>
        <v>0</v>
      </c>
      <c r="E22" s="806">
        <f t="shared" si="1"/>
        <v>9.3136815793750234</v>
      </c>
      <c r="F22" s="806">
        <f t="shared" si="1"/>
        <v>641.77307081726065</v>
      </c>
      <c r="G22" s="806">
        <f t="shared" si="1"/>
        <v>0</v>
      </c>
      <c r="H22" s="806">
        <f t="shared" si="1"/>
        <v>169207.30600136993</v>
      </c>
      <c r="I22" s="806">
        <f t="shared" si="1"/>
        <v>21620.918639739291</v>
      </c>
      <c r="J22" s="806">
        <f t="shared" si="1"/>
        <v>0</v>
      </c>
      <c r="K22" s="806">
        <f t="shared" si="1"/>
        <v>0</v>
      </c>
      <c r="L22" s="806">
        <f t="shared" si="1"/>
        <v>0</v>
      </c>
      <c r="M22" s="806">
        <f t="shared" si="1"/>
        <v>0</v>
      </c>
      <c r="N22" s="806">
        <f t="shared" si="1"/>
        <v>8523.198344714132</v>
      </c>
      <c r="O22" s="806">
        <f t="shared" si="1"/>
        <v>0</v>
      </c>
      <c r="P22" s="806">
        <f t="shared" si="1"/>
        <v>0</v>
      </c>
      <c r="Q22" s="806">
        <f t="shared" si="1"/>
        <v>0</v>
      </c>
      <c r="R22" s="806">
        <f t="shared" si="1"/>
        <v>200005.91961079079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590.90681983293143</v>
      </c>
      <c r="D24" s="688">
        <f>+landbouw!C8</f>
        <v>5.2597402597402594</v>
      </c>
      <c r="E24" s="688">
        <f>+landbouw!D8</f>
        <v>1163.0668397116581</v>
      </c>
      <c r="F24" s="688">
        <f>+landbouw!E8</f>
        <v>5.5667381633829214</v>
      </c>
      <c r="G24" s="688">
        <f>+landbouw!F8</f>
        <v>1928.3250578657985</v>
      </c>
      <c r="H24" s="688">
        <f>+landbouw!G8</f>
        <v>0</v>
      </c>
      <c r="I24" s="688">
        <f>+landbouw!H8</f>
        <v>0</v>
      </c>
      <c r="J24" s="688">
        <f>+landbouw!I8</f>
        <v>0</v>
      </c>
      <c r="K24" s="688">
        <f>+landbouw!J8</f>
        <v>73.09804778355317</v>
      </c>
      <c r="L24" s="688">
        <f>+landbouw!K8</f>
        <v>0</v>
      </c>
      <c r="M24" s="688">
        <f>+landbouw!L8</f>
        <v>0</v>
      </c>
      <c r="N24" s="688">
        <f>+landbouw!M8</f>
        <v>0</v>
      </c>
      <c r="O24" s="688">
        <f>+landbouw!N8</f>
        <v>0</v>
      </c>
      <c r="P24" s="688">
        <f>+landbouw!O8</f>
        <v>0</v>
      </c>
      <c r="Q24" s="689">
        <f>+landbouw!P8</f>
        <v>0</v>
      </c>
      <c r="R24" s="691">
        <f>SUM(C24:Q24)</f>
        <v>3766.2232436170648</v>
      </c>
      <c r="S24" s="68"/>
    </row>
    <row r="25" spans="1:19" s="457" customFormat="1" ht="15" thickBot="1">
      <c r="A25" s="825" t="s">
        <v>912</v>
      </c>
      <c r="B25" s="1001"/>
      <c r="C25" s="1002">
        <f>IF(Onbekend_ele_kWh="---",0,Onbekend_ele_kWh)/1000+IF(REST_rest_ele_kWh="---",0,REST_rest_ele_kWh)/1000</f>
        <v>733.52992751904208</v>
      </c>
      <c r="D25" s="1002"/>
      <c r="E25" s="1002">
        <f>IF(onbekend_gas_kWh="---",0,onbekend_gas_kWh)/1000+IF(REST_rest_gas_kWh="---",0,REST_rest_gas_kWh)/1000</f>
        <v>1921.3530962300799</v>
      </c>
      <c r="F25" s="1002"/>
      <c r="G25" s="1002"/>
      <c r="H25" s="1002"/>
      <c r="I25" s="1002"/>
      <c r="J25" s="1002"/>
      <c r="K25" s="1002"/>
      <c r="L25" s="1002"/>
      <c r="M25" s="1002"/>
      <c r="N25" s="1002"/>
      <c r="O25" s="1002"/>
      <c r="P25" s="1002"/>
      <c r="Q25" s="1003"/>
      <c r="R25" s="691">
        <f>SUM(C25:Q25)</f>
        <v>2654.883023749122</v>
      </c>
      <c r="S25" s="68"/>
    </row>
    <row r="26" spans="1:19" s="457" customFormat="1" ht="15.75" thickBot="1">
      <c r="A26" s="694" t="s">
        <v>913</v>
      </c>
      <c r="B26" s="811"/>
      <c r="C26" s="806">
        <f>SUM(C24:C25)</f>
        <v>1324.4367473519735</v>
      </c>
      <c r="D26" s="806">
        <f t="shared" ref="D26:R26" si="2">SUM(D24:D25)</f>
        <v>5.2597402597402594</v>
      </c>
      <c r="E26" s="806">
        <f t="shared" si="2"/>
        <v>3084.419935941738</v>
      </c>
      <c r="F26" s="806">
        <f t="shared" si="2"/>
        <v>5.5667381633829214</v>
      </c>
      <c r="G26" s="806">
        <f t="shared" si="2"/>
        <v>1928.3250578657985</v>
      </c>
      <c r="H26" s="806">
        <f t="shared" si="2"/>
        <v>0</v>
      </c>
      <c r="I26" s="806">
        <f t="shared" si="2"/>
        <v>0</v>
      </c>
      <c r="J26" s="806">
        <f t="shared" si="2"/>
        <v>0</v>
      </c>
      <c r="K26" s="806">
        <f t="shared" si="2"/>
        <v>73.09804778355317</v>
      </c>
      <c r="L26" s="806">
        <f t="shared" si="2"/>
        <v>0</v>
      </c>
      <c r="M26" s="806">
        <f t="shared" si="2"/>
        <v>0</v>
      </c>
      <c r="N26" s="806">
        <f t="shared" si="2"/>
        <v>0</v>
      </c>
      <c r="O26" s="806">
        <f t="shared" si="2"/>
        <v>0</v>
      </c>
      <c r="P26" s="806">
        <f t="shared" si="2"/>
        <v>0</v>
      </c>
      <c r="Q26" s="806">
        <f t="shared" si="2"/>
        <v>0</v>
      </c>
      <c r="R26" s="806">
        <f t="shared" si="2"/>
        <v>6421.1062673661872</v>
      </c>
      <c r="S26" s="68"/>
    </row>
    <row r="27" spans="1:19" s="457" customFormat="1" ht="17.25" thickTop="1" thickBot="1">
      <c r="A27" s="695" t="s">
        <v>116</v>
      </c>
      <c r="B27" s="798"/>
      <c r="C27" s="696">
        <f ca="1">C22+C16+C26</f>
        <v>33069.124125967384</v>
      </c>
      <c r="D27" s="696">
        <f t="shared" ref="D27:R27" ca="1" si="3">D22+D16+D26</f>
        <v>5.2597402597402594</v>
      </c>
      <c r="E27" s="696">
        <f t="shared" ca="1" si="3"/>
        <v>46259.602173996544</v>
      </c>
      <c r="F27" s="696">
        <f t="shared" si="3"/>
        <v>2190.1027198657084</v>
      </c>
      <c r="G27" s="696">
        <f t="shared" ca="1" si="3"/>
        <v>24376.479201694579</v>
      </c>
      <c r="H27" s="696">
        <f t="shared" si="3"/>
        <v>169207.30600136993</v>
      </c>
      <c r="I27" s="696">
        <f t="shared" si="3"/>
        <v>21620.918639739291</v>
      </c>
      <c r="J27" s="696">
        <f t="shared" si="3"/>
        <v>0</v>
      </c>
      <c r="K27" s="696">
        <f t="shared" si="3"/>
        <v>75.442206514177656</v>
      </c>
      <c r="L27" s="696">
        <f t="shared" si="3"/>
        <v>0</v>
      </c>
      <c r="M27" s="696">
        <f t="shared" ca="1" si="3"/>
        <v>0</v>
      </c>
      <c r="N27" s="696">
        <f t="shared" si="3"/>
        <v>8523.198344714132</v>
      </c>
      <c r="O27" s="696">
        <f t="shared" ca="1" si="3"/>
        <v>5714.1139058367417</v>
      </c>
      <c r="P27" s="696">
        <f t="shared" si="3"/>
        <v>93.8</v>
      </c>
      <c r="Q27" s="696">
        <f t="shared" si="3"/>
        <v>95.333333333333343</v>
      </c>
      <c r="R27" s="696">
        <f t="shared" ca="1" si="3"/>
        <v>311230.68039329164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1520.086583608339</v>
      </c>
      <c r="D40" s="688">
        <f ca="1">tertiair!C20</f>
        <v>0</v>
      </c>
      <c r="E40" s="688">
        <f ca="1">tertiair!D20</f>
        <v>1779.6349462322605</v>
      </c>
      <c r="F40" s="688">
        <f>tertiair!E20</f>
        <v>14.559966073448372</v>
      </c>
      <c r="G40" s="688">
        <f ca="1">tertiair!F20</f>
        <v>335.39587616024977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3649.6773720742976</v>
      </c>
    </row>
    <row r="41" spans="1:18">
      <c r="A41" s="816" t="s">
        <v>225</v>
      </c>
      <c r="B41" s="823"/>
      <c r="C41" s="688">
        <f ca="1">huishoudens!B12</f>
        <v>4813.446940756643</v>
      </c>
      <c r="D41" s="688">
        <f ca="1">huishoudens!C12</f>
        <v>0</v>
      </c>
      <c r="E41" s="688">
        <f>huishoudens!D12</f>
        <v>6818.4922892949126</v>
      </c>
      <c r="F41" s="688">
        <f>huishoudens!E12</f>
        <v>333.68176409472721</v>
      </c>
      <c r="G41" s="688">
        <f>huishoudens!F12</f>
        <v>5518.7919681942894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17484.412962340572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234.85393297599396</v>
      </c>
      <c r="D43" s="688">
        <f ca="1">industrie!C22</f>
        <v>0</v>
      </c>
      <c r="E43" s="688">
        <f>industrie!D22</f>
        <v>121.37821288086401</v>
      </c>
      <c r="F43" s="688">
        <f>industrie!E22</f>
        <v>1.9654506027341667</v>
      </c>
      <c r="G43" s="688">
        <f>industrie!F22</f>
        <v>139.46931204774489</v>
      </c>
      <c r="H43" s="688">
        <f>industrie!G22</f>
        <v>0</v>
      </c>
      <c r="I43" s="688">
        <f>industrie!H22</f>
        <v>0</v>
      </c>
      <c r="J43" s="688">
        <f>industrie!I22</f>
        <v>0</v>
      </c>
      <c r="K43" s="688">
        <f>industrie!J22</f>
        <v>0.82983219064107039</v>
      </c>
      <c r="L43" s="688">
        <f>industrie!K22</f>
        <v>0</v>
      </c>
      <c r="M43" s="688">
        <f>industrie!L22</f>
        <v>0</v>
      </c>
      <c r="N43" s="688">
        <f>industrie!M22</f>
        <v>0</v>
      </c>
      <c r="O43" s="688">
        <f>industrie!N22</f>
        <v>0</v>
      </c>
      <c r="P43" s="688">
        <f>industrie!O22</f>
        <v>0</v>
      </c>
      <c r="Q43" s="763">
        <f>industrie!P22</f>
        <v>0</v>
      </c>
      <c r="R43" s="843">
        <f t="shared" ca="1" si="4"/>
        <v>498.49674069797811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6568.3874573409767</v>
      </c>
      <c r="D46" s="721">
        <f t="shared" ref="D46:Q46" ca="1" si="5">SUM(D39:D45)</f>
        <v>0</v>
      </c>
      <c r="E46" s="721">
        <f t="shared" ca="1" si="5"/>
        <v>8719.5054484080356</v>
      </c>
      <c r="F46" s="721">
        <f t="shared" si="5"/>
        <v>350.20718077090976</v>
      </c>
      <c r="G46" s="721">
        <f t="shared" ca="1" si="5"/>
        <v>5993.6571564022843</v>
      </c>
      <c r="H46" s="721">
        <f t="shared" si="5"/>
        <v>0</v>
      </c>
      <c r="I46" s="721">
        <f t="shared" si="5"/>
        <v>0</v>
      </c>
      <c r="J46" s="721">
        <f t="shared" si="5"/>
        <v>0</v>
      </c>
      <c r="K46" s="721">
        <f t="shared" si="5"/>
        <v>0.82983219064107039</v>
      </c>
      <c r="L46" s="721">
        <f t="shared" si="5"/>
        <v>0</v>
      </c>
      <c r="M46" s="721">
        <f t="shared" ca="1" si="5"/>
        <v>0</v>
      </c>
      <c r="N46" s="721">
        <f t="shared" si="5"/>
        <v>0</v>
      </c>
      <c r="O46" s="721">
        <f t="shared" ca="1" si="5"/>
        <v>0</v>
      </c>
      <c r="P46" s="721">
        <f t="shared" si="5"/>
        <v>0</v>
      </c>
      <c r="Q46" s="721">
        <f t="shared" si="5"/>
        <v>0</v>
      </c>
      <c r="R46" s="721">
        <f ca="1">SUM(R39:R45)</f>
        <v>21632.587075112846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306.72806790570655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306.72806790570655</v>
      </c>
    </row>
    <row r="50" spans="1:18">
      <c r="A50" s="819" t="s">
        <v>307</v>
      </c>
      <c r="B50" s="829"/>
      <c r="C50" s="1008">
        <f ca="1">transport!B18</f>
        <v>0.70562264612012571</v>
      </c>
      <c r="D50" s="1008">
        <f>transport!C18</f>
        <v>0</v>
      </c>
      <c r="E50" s="1008">
        <f>transport!D18</f>
        <v>1.8813636790337549</v>
      </c>
      <c r="F50" s="1008">
        <f>transport!E18</f>
        <v>145.68248707551817</v>
      </c>
      <c r="G50" s="1008">
        <f>transport!F18</f>
        <v>0</v>
      </c>
      <c r="H50" s="1008">
        <f>transport!G18</f>
        <v>44871.622634460065</v>
      </c>
      <c r="I50" s="1008">
        <f>transport!H18</f>
        <v>5383.6087412950837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50403.500849155826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0.70562264612012571</v>
      </c>
      <c r="D52" s="721">
        <f t="shared" ref="D52:Q52" ca="1" si="6">SUM(D48:D51)</f>
        <v>0</v>
      </c>
      <c r="E52" s="721">
        <f t="shared" si="6"/>
        <v>1.8813636790337549</v>
      </c>
      <c r="F52" s="721">
        <f t="shared" si="6"/>
        <v>145.68248707551817</v>
      </c>
      <c r="G52" s="721">
        <f t="shared" si="6"/>
        <v>0</v>
      </c>
      <c r="H52" s="721">
        <f t="shared" si="6"/>
        <v>45178.350702365773</v>
      </c>
      <c r="I52" s="721">
        <f t="shared" si="6"/>
        <v>5383.6087412950837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50710.228917061533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122.27941812073371</v>
      </c>
      <c r="D54" s="1008">
        <f ca="1">+landbouw!C12</f>
        <v>1.1805194805194807</v>
      </c>
      <c r="E54" s="1008">
        <f>+landbouw!D12</f>
        <v>234.93950162175494</v>
      </c>
      <c r="F54" s="1008">
        <f>+landbouw!E12</f>
        <v>1.2636495630879232</v>
      </c>
      <c r="G54" s="1008">
        <f>+landbouw!F12</f>
        <v>514.86279045016818</v>
      </c>
      <c r="H54" s="1008">
        <f>+landbouw!G12</f>
        <v>0</v>
      </c>
      <c r="I54" s="1008">
        <f>+landbouw!H12</f>
        <v>0</v>
      </c>
      <c r="J54" s="1008">
        <f>+landbouw!I12</f>
        <v>0</v>
      </c>
      <c r="K54" s="1008">
        <f>+landbouw!J12</f>
        <v>25.876708915377822</v>
      </c>
      <c r="L54" s="1008">
        <f>+landbouw!K12</f>
        <v>0</v>
      </c>
      <c r="M54" s="1008">
        <f>+landbouw!L12</f>
        <v>0</v>
      </c>
      <c r="N54" s="1008">
        <f>+landbouw!M12</f>
        <v>0</v>
      </c>
      <c r="O54" s="1008">
        <f>+landbouw!N12</f>
        <v>0</v>
      </c>
      <c r="P54" s="1008">
        <f>+landbouw!O12</f>
        <v>0</v>
      </c>
      <c r="Q54" s="1009">
        <f>+landbouw!P12</f>
        <v>0</v>
      </c>
      <c r="R54" s="720">
        <f ca="1">SUM(C54:Q54)</f>
        <v>900.40258815164202</v>
      </c>
    </row>
    <row r="55" spans="1:18" ht="15" thickBot="1">
      <c r="A55" s="819" t="s">
        <v>912</v>
      </c>
      <c r="B55" s="829"/>
      <c r="C55" s="1008">
        <f ca="1">C25*'EF ele_warmte'!B12</f>
        <v>151.79315875307091</v>
      </c>
      <c r="D55" s="1008"/>
      <c r="E55" s="1008">
        <f>E25*EF_CO2_aardgas</f>
        <v>388.11332543847618</v>
      </c>
      <c r="F55" s="1008"/>
      <c r="G55" s="1008"/>
      <c r="H55" s="1008"/>
      <c r="I55" s="1008"/>
      <c r="J55" s="1008"/>
      <c r="K55" s="1008"/>
      <c r="L55" s="1008"/>
      <c r="M55" s="1008"/>
      <c r="N55" s="1008"/>
      <c r="O55" s="1008"/>
      <c r="P55" s="1008"/>
      <c r="Q55" s="1009"/>
      <c r="R55" s="720">
        <f ca="1">SUM(C55:Q55)</f>
        <v>539.90648419154707</v>
      </c>
    </row>
    <row r="56" spans="1:18" ht="15.75" thickBot="1">
      <c r="A56" s="817" t="s">
        <v>913</v>
      </c>
      <c r="B56" s="830"/>
      <c r="C56" s="721">
        <f ca="1">SUM(C54:C55)</f>
        <v>274.07257687380462</v>
      </c>
      <c r="D56" s="721">
        <f t="shared" ref="D56:Q56" ca="1" si="7">SUM(D54:D55)</f>
        <v>1.1805194805194807</v>
      </c>
      <c r="E56" s="721">
        <f t="shared" si="7"/>
        <v>623.05282706023115</v>
      </c>
      <c r="F56" s="721">
        <f t="shared" si="7"/>
        <v>1.2636495630879232</v>
      </c>
      <c r="G56" s="721">
        <f t="shared" si="7"/>
        <v>514.86279045016818</v>
      </c>
      <c r="H56" s="721">
        <f t="shared" si="7"/>
        <v>0</v>
      </c>
      <c r="I56" s="721">
        <f t="shared" si="7"/>
        <v>0</v>
      </c>
      <c r="J56" s="721">
        <f t="shared" si="7"/>
        <v>0</v>
      </c>
      <c r="K56" s="721">
        <f t="shared" si="7"/>
        <v>25.876708915377822</v>
      </c>
      <c r="L56" s="721">
        <f t="shared" si="7"/>
        <v>0</v>
      </c>
      <c r="M56" s="721">
        <f t="shared" si="7"/>
        <v>0</v>
      </c>
      <c r="N56" s="721">
        <f t="shared" si="7"/>
        <v>0</v>
      </c>
      <c r="O56" s="721">
        <f t="shared" si="7"/>
        <v>0</v>
      </c>
      <c r="P56" s="721">
        <f t="shared" si="7"/>
        <v>0</v>
      </c>
      <c r="Q56" s="722">
        <f t="shared" si="7"/>
        <v>0</v>
      </c>
      <c r="R56" s="723">
        <f ca="1">SUM(R54:R55)</f>
        <v>1440.3090723431892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6843.1656568609014</v>
      </c>
      <c r="D61" s="729">
        <f t="shared" ref="D61:Q61" ca="1" si="8">D46+D52+D56</f>
        <v>1.1805194805194807</v>
      </c>
      <c r="E61" s="729">
        <f t="shared" ca="1" si="8"/>
        <v>9344.4396391473019</v>
      </c>
      <c r="F61" s="729">
        <f t="shared" si="8"/>
        <v>497.15331740951586</v>
      </c>
      <c r="G61" s="729">
        <f t="shared" ca="1" si="8"/>
        <v>6508.5199468524524</v>
      </c>
      <c r="H61" s="729">
        <f t="shared" si="8"/>
        <v>45178.350702365773</v>
      </c>
      <c r="I61" s="729">
        <f t="shared" si="8"/>
        <v>5383.6087412950837</v>
      </c>
      <c r="J61" s="729">
        <f t="shared" si="8"/>
        <v>0</v>
      </c>
      <c r="K61" s="729">
        <f t="shared" si="8"/>
        <v>26.706541106018893</v>
      </c>
      <c r="L61" s="729">
        <f t="shared" si="8"/>
        <v>0</v>
      </c>
      <c r="M61" s="729">
        <f t="shared" ca="1" si="8"/>
        <v>0</v>
      </c>
      <c r="N61" s="729">
        <f t="shared" si="8"/>
        <v>0</v>
      </c>
      <c r="O61" s="729">
        <f t="shared" ca="1" si="8"/>
        <v>0</v>
      </c>
      <c r="P61" s="729">
        <f t="shared" si="8"/>
        <v>0</v>
      </c>
      <c r="Q61" s="729">
        <f t="shared" si="8"/>
        <v>0</v>
      </c>
      <c r="R61" s="729">
        <f ca="1">R46+R52+R56</f>
        <v>73783.125064517575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0.20693519522300668</v>
      </c>
      <c r="D63" s="773">
        <f t="shared" ca="1" si="9"/>
        <v>0.2244444444444445</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2104.5900378032316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1.051948051948052</v>
      </c>
      <c r="D76" s="1020">
        <f>'lokale energieproductie'!C8</f>
        <v>1.168831168831169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0.23610389610389615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2104.5900378032316</v>
      </c>
      <c r="C78" s="744">
        <f>SUM(C72:C77)</f>
        <v>1.051948051948052</v>
      </c>
      <c r="D78" s="745">
        <f t="shared" ref="D78:H78" si="10">SUM(D76:D77)</f>
        <v>1.168831168831169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0.23610389610389615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5.2597402597402594</v>
      </c>
      <c r="D87" s="766">
        <f>'lokale energieproductie'!C17</f>
        <v>5.8441558441558445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1.1805194805194807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5.2597402597402594</v>
      </c>
      <c r="D90" s="744">
        <f t="shared" ref="D90:H90" si="12">SUM(D87:D89)</f>
        <v>5.8441558441558445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1.1805194805194807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2104.5900378032316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1.051948051948052</v>
      </c>
      <c r="C8" s="558">
        <f>B101</f>
        <v>1.168831168831169</v>
      </c>
      <c r="D8" s="991"/>
      <c r="E8" s="991">
        <f>E101</f>
        <v>0</v>
      </c>
      <c r="F8" s="992"/>
      <c r="G8" s="559"/>
      <c r="H8" s="991">
        <f>I101</f>
        <v>0</v>
      </c>
      <c r="I8" s="991">
        <f>G101+F101</f>
        <v>0</v>
      </c>
      <c r="J8" s="991">
        <f>H101+D101+C101</f>
        <v>0</v>
      </c>
      <c r="K8" s="991"/>
      <c r="L8" s="991"/>
      <c r="M8" s="991"/>
      <c r="N8" s="560"/>
      <c r="O8" s="561">
        <f>C8*$C$12+D8*$D$12+E8*$E$12+F8*$F$12+G8*$G$12+H8*$H$12+I8*$I$12+J8*$J$12</f>
        <v>0.23610389610389615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2105.6419858551794</v>
      </c>
      <c r="C10" s="570">
        <f t="shared" ref="C10:L10" si="0">SUM(C8:C9)</f>
        <v>1.168831168831169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0.23610389610389615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5.2597402597402594</v>
      </c>
      <c r="C17" s="582">
        <f>B102</f>
        <v>5.8441558441558445</v>
      </c>
      <c r="D17" s="583"/>
      <c r="E17" s="583">
        <f>E102</f>
        <v>0</v>
      </c>
      <c r="F17" s="584"/>
      <c r="G17" s="585"/>
      <c r="H17" s="582">
        <f>I102</f>
        <v>0</v>
      </c>
      <c r="I17" s="583">
        <f>G102+F102</f>
        <v>0</v>
      </c>
      <c r="J17" s="583">
        <f>H102+D102+C102</f>
        <v>0</v>
      </c>
      <c r="K17" s="583"/>
      <c r="L17" s="583"/>
      <c r="M17" s="583"/>
      <c r="N17" s="998"/>
      <c r="O17" s="586">
        <f>C17*$C$22+E17*$E$22+H17*$H$22+I17*$I$22+J17*$J$22+D17*$D$22+F17*$F$22+G17*$G$22+K17*$K$22+L17*$L$22</f>
        <v>1.1805194805194807</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5.2597402597402594</v>
      </c>
      <c r="C20" s="569">
        <f>SUM(C17:C19)</f>
        <v>5.8441558441558445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1.1805194805194807</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44012</v>
      </c>
      <c r="C28" s="789">
        <v>9840</v>
      </c>
      <c r="D28" s="642" t="s">
        <v>948</v>
      </c>
      <c r="E28" s="641" t="s">
        <v>949</v>
      </c>
      <c r="F28" s="641" t="s">
        <v>950</v>
      </c>
      <c r="G28" s="641" t="s">
        <v>951</v>
      </c>
      <c r="H28" s="641" t="s">
        <v>951</v>
      </c>
      <c r="I28" s="641" t="s">
        <v>949</v>
      </c>
      <c r="J28" s="788">
        <v>40904</v>
      </c>
      <c r="K28" s="788">
        <v>41091</v>
      </c>
      <c r="L28" s="641" t="s">
        <v>952</v>
      </c>
      <c r="M28" s="641">
        <v>1</v>
      </c>
      <c r="N28" s="641">
        <v>0.64285714285714279</v>
      </c>
      <c r="O28" s="641">
        <v>3.214285714285714</v>
      </c>
      <c r="P28" s="641">
        <v>4.2857142857142856</v>
      </c>
      <c r="Q28" s="641">
        <v>0</v>
      </c>
      <c r="R28" s="641">
        <v>0</v>
      </c>
      <c r="S28" s="641">
        <v>0</v>
      </c>
      <c r="T28" s="641">
        <v>0</v>
      </c>
      <c r="U28" s="641">
        <v>0</v>
      </c>
      <c r="V28" s="641">
        <v>0</v>
      </c>
      <c r="W28" s="641"/>
      <c r="X28" s="641">
        <v>10</v>
      </c>
      <c r="Y28" s="641" t="s">
        <v>112</v>
      </c>
      <c r="Z28" s="643" t="s">
        <v>112</v>
      </c>
    </row>
    <row r="29" spans="1:26" s="595" customFormat="1" ht="25.5">
      <c r="A29" s="594"/>
      <c r="B29" s="789">
        <v>44012</v>
      </c>
      <c r="C29" s="789">
        <v>9840</v>
      </c>
      <c r="D29" s="642" t="s">
        <v>953</v>
      </c>
      <c r="E29" s="641" t="s">
        <v>954</v>
      </c>
      <c r="F29" s="641" t="s">
        <v>955</v>
      </c>
      <c r="G29" s="641" t="s">
        <v>951</v>
      </c>
      <c r="H29" s="641" t="s">
        <v>951</v>
      </c>
      <c r="I29" s="641" t="s">
        <v>954</v>
      </c>
      <c r="J29" s="788">
        <v>41169</v>
      </c>
      <c r="K29" s="788">
        <v>41214</v>
      </c>
      <c r="L29" s="641" t="s">
        <v>952</v>
      </c>
      <c r="M29" s="641">
        <v>1</v>
      </c>
      <c r="N29" s="641">
        <v>0.40909090909090912</v>
      </c>
      <c r="O29" s="641">
        <v>2.0454545454545454</v>
      </c>
      <c r="P29" s="641">
        <v>2.7272727272727275</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v>
      </c>
      <c r="N58" s="599">
        <f>SUM(N28:N57)</f>
        <v>1.051948051948052</v>
      </c>
      <c r="O58" s="599">
        <f t="shared" ref="O58:W58" si="2">SUM(O28:O57)</f>
        <v>5.2597402597402594</v>
      </c>
      <c r="P58" s="599">
        <f t="shared" si="2"/>
        <v>7.0129870129870131</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v>
      </c>
      <c r="N61" s="604">
        <f t="shared" si="4"/>
        <v>1.051948051948052</v>
      </c>
      <c r="O61" s="604">
        <f t="shared" si="4"/>
        <v>5.2597402597402594</v>
      </c>
      <c r="P61" s="604">
        <f t="shared" si="4"/>
        <v>7.0129870129870131</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0.16666666666666669</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1.168831168831169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5.8441558441558445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23260.648994818705</v>
      </c>
      <c r="C4" s="461">
        <f>huishoudens!C8</f>
        <v>0</v>
      </c>
      <c r="D4" s="461">
        <f>huishoudens!D8</f>
        <v>33754.912323242141</v>
      </c>
      <c r="E4" s="461">
        <f>huishoudens!E8</f>
        <v>1469.9637184789744</v>
      </c>
      <c r="F4" s="461">
        <f>huishoudens!F8</f>
        <v>20669.632839678987</v>
      </c>
      <c r="G4" s="461">
        <f>huishoudens!G8</f>
        <v>0</v>
      </c>
      <c r="H4" s="461">
        <f>huishoudens!H8</f>
        <v>0</v>
      </c>
      <c r="I4" s="461">
        <f>huishoudens!I8</f>
        <v>0</v>
      </c>
      <c r="J4" s="461">
        <f>huishoudens!J8</f>
        <v>0</v>
      </c>
      <c r="K4" s="461">
        <f>huishoudens!K8</f>
        <v>0</v>
      </c>
      <c r="L4" s="461">
        <f>huishoudens!L8</f>
        <v>0</v>
      </c>
      <c r="M4" s="461">
        <f>huishoudens!M8</f>
        <v>0</v>
      </c>
      <c r="N4" s="461">
        <f>huishoudens!N8</f>
        <v>5239.503167215521</v>
      </c>
      <c r="O4" s="461">
        <f>huishoudens!O8</f>
        <v>93.8</v>
      </c>
      <c r="P4" s="462">
        <f>huishoudens!P8</f>
        <v>95.333333333333343</v>
      </c>
      <c r="Q4" s="463">
        <f>SUM(B4:P4)</f>
        <v>84583.794376767662</v>
      </c>
    </row>
    <row r="5" spans="1:17">
      <c r="A5" s="460" t="s">
        <v>156</v>
      </c>
      <c r="B5" s="461">
        <f ca="1">tertiair!B16</f>
        <v>6421.5541444952896</v>
      </c>
      <c r="C5" s="461">
        <f ca="1">tertiair!C16</f>
        <v>0</v>
      </c>
      <c r="D5" s="461">
        <f ca="1">tertiair!D16</f>
        <v>8810.0739912488134</v>
      </c>
      <c r="E5" s="461">
        <f>tertiair!E16</f>
        <v>64.14081970682102</v>
      </c>
      <c r="F5" s="461">
        <f ca="1">tertiair!F16</f>
        <v>1256.1643301882013</v>
      </c>
      <c r="G5" s="461">
        <f>tertiair!G16</f>
        <v>0</v>
      </c>
      <c r="H5" s="461">
        <f>tertiair!H16</f>
        <v>0</v>
      </c>
      <c r="I5" s="461">
        <f>tertiair!I16</f>
        <v>0</v>
      </c>
      <c r="J5" s="461">
        <f>tertiair!J16</f>
        <v>0</v>
      </c>
      <c r="K5" s="461">
        <f>tertiair!K16</f>
        <v>0</v>
      </c>
      <c r="L5" s="461">
        <f ca="1">tertiair!L16</f>
        <v>0</v>
      </c>
      <c r="M5" s="461">
        <f>tertiair!M16</f>
        <v>0</v>
      </c>
      <c r="N5" s="461">
        <f ca="1">tertiair!N16</f>
        <v>418.75072227342571</v>
      </c>
      <c r="O5" s="461">
        <f>tertiair!O16</f>
        <v>0</v>
      </c>
      <c r="P5" s="462">
        <f>tertiair!P16</f>
        <v>0</v>
      </c>
      <c r="Q5" s="460">
        <f t="shared" ref="Q5:Q14" ca="1" si="0">SUM(B5:P5)</f>
        <v>16970.684007912554</v>
      </c>
    </row>
    <row r="6" spans="1:17">
      <c r="A6" s="460" t="s">
        <v>194</v>
      </c>
      <c r="B6" s="461">
        <f>'openbare verlichting'!B8</f>
        <v>924.15899999999999</v>
      </c>
      <c r="C6" s="461"/>
      <c r="D6" s="461"/>
      <c r="E6" s="461"/>
      <c r="F6" s="461"/>
      <c r="G6" s="461"/>
      <c r="H6" s="461"/>
      <c r="I6" s="461"/>
      <c r="J6" s="461"/>
      <c r="K6" s="461"/>
      <c r="L6" s="461"/>
      <c r="M6" s="461"/>
      <c r="N6" s="461"/>
      <c r="O6" s="461"/>
      <c r="P6" s="462"/>
      <c r="Q6" s="460">
        <f t="shared" si="0"/>
        <v>924.15899999999999</v>
      </c>
    </row>
    <row r="7" spans="1:17">
      <c r="A7" s="460" t="s">
        <v>112</v>
      </c>
      <c r="B7" s="461">
        <f>landbouw!B8</f>
        <v>590.90681983293143</v>
      </c>
      <c r="C7" s="461">
        <f>landbouw!C8</f>
        <v>5.2597402597402594</v>
      </c>
      <c r="D7" s="461">
        <f>landbouw!D8</f>
        <v>1163.0668397116581</v>
      </c>
      <c r="E7" s="461">
        <f>landbouw!E8</f>
        <v>5.5667381633829214</v>
      </c>
      <c r="F7" s="461">
        <f>landbouw!F8</f>
        <v>1928.3250578657985</v>
      </c>
      <c r="G7" s="461">
        <f>landbouw!G8</f>
        <v>0</v>
      </c>
      <c r="H7" s="461">
        <f>landbouw!H8</f>
        <v>0</v>
      </c>
      <c r="I7" s="461">
        <f>landbouw!I8</f>
        <v>0</v>
      </c>
      <c r="J7" s="461">
        <f>landbouw!J8</f>
        <v>73.09804778355317</v>
      </c>
      <c r="K7" s="461">
        <f>landbouw!K8</f>
        <v>0</v>
      </c>
      <c r="L7" s="461">
        <f>landbouw!L8</f>
        <v>0</v>
      </c>
      <c r="M7" s="461">
        <f>landbouw!M8</f>
        <v>0</v>
      </c>
      <c r="N7" s="461">
        <f>landbouw!N8</f>
        <v>0</v>
      </c>
      <c r="O7" s="461">
        <f>landbouw!O8</f>
        <v>0</v>
      </c>
      <c r="P7" s="462">
        <f>landbouw!P8</f>
        <v>0</v>
      </c>
      <c r="Q7" s="460">
        <f t="shared" si="0"/>
        <v>3766.2232436170648</v>
      </c>
    </row>
    <row r="8" spans="1:17">
      <c r="A8" s="460" t="s">
        <v>685</v>
      </c>
      <c r="B8" s="461">
        <f>industrie!B18</f>
        <v>1134.9153667306339</v>
      </c>
      <c r="C8" s="461">
        <f>industrie!C18</f>
        <v>0</v>
      </c>
      <c r="D8" s="461">
        <f>industrie!D18</f>
        <v>600.88224198447529</v>
      </c>
      <c r="E8" s="461">
        <f>industrie!E18</f>
        <v>8.6583726992694565</v>
      </c>
      <c r="F8" s="461">
        <f>industrie!F18</f>
        <v>522.35697396159128</v>
      </c>
      <c r="G8" s="461">
        <f>industrie!G18</f>
        <v>0</v>
      </c>
      <c r="H8" s="461">
        <f>industrie!H18</f>
        <v>0</v>
      </c>
      <c r="I8" s="461">
        <f>industrie!I18</f>
        <v>0</v>
      </c>
      <c r="J8" s="461">
        <f>industrie!J18</f>
        <v>2.3441587306244926</v>
      </c>
      <c r="K8" s="461">
        <f>industrie!K18</f>
        <v>0</v>
      </c>
      <c r="L8" s="461">
        <f>industrie!L18</f>
        <v>0</v>
      </c>
      <c r="M8" s="461">
        <f>industrie!M18</f>
        <v>0</v>
      </c>
      <c r="N8" s="461">
        <f>industrie!N18</f>
        <v>55.860016347794648</v>
      </c>
      <c r="O8" s="461">
        <f>industrie!O18</f>
        <v>0</v>
      </c>
      <c r="P8" s="462">
        <f>industrie!P18</f>
        <v>0</v>
      </c>
      <c r="Q8" s="460">
        <f t="shared" si="0"/>
        <v>2325.0171304543892</v>
      </c>
    </row>
    <row r="9" spans="1:17" s="466" customFormat="1">
      <c r="A9" s="464" t="s">
        <v>579</v>
      </c>
      <c r="B9" s="465">
        <f>transport!B14</f>
        <v>3.4098725707809217</v>
      </c>
      <c r="C9" s="465">
        <f>transport!C14</f>
        <v>0</v>
      </c>
      <c r="D9" s="465">
        <f>transport!D14</f>
        <v>9.3136815793750234</v>
      </c>
      <c r="E9" s="465">
        <f>transport!E14</f>
        <v>641.77307081726065</v>
      </c>
      <c r="F9" s="465">
        <f>transport!F14</f>
        <v>0</v>
      </c>
      <c r="G9" s="465">
        <f>transport!G14</f>
        <v>168058.5117395508</v>
      </c>
      <c r="H9" s="465">
        <f>transport!H14</f>
        <v>21620.918639739291</v>
      </c>
      <c r="I9" s="465">
        <f>transport!I14</f>
        <v>0</v>
      </c>
      <c r="J9" s="465">
        <f>transport!J14</f>
        <v>0</v>
      </c>
      <c r="K9" s="465">
        <f>transport!K14</f>
        <v>0</v>
      </c>
      <c r="L9" s="465">
        <f>transport!L14</f>
        <v>0</v>
      </c>
      <c r="M9" s="465">
        <f>transport!M14</f>
        <v>8472.752893622981</v>
      </c>
      <c r="N9" s="465">
        <f>transport!N14</f>
        <v>0</v>
      </c>
      <c r="O9" s="465">
        <f>transport!O14</f>
        <v>0</v>
      </c>
      <c r="P9" s="465">
        <f>transport!P14</f>
        <v>0</v>
      </c>
      <c r="Q9" s="464">
        <f>SUM(B9:P9)</f>
        <v>198806.6798978805</v>
      </c>
    </row>
    <row r="10" spans="1:17">
      <c r="A10" s="460" t="s">
        <v>569</v>
      </c>
      <c r="B10" s="461">
        <f>transport!B54</f>
        <v>0</v>
      </c>
      <c r="C10" s="461">
        <f>transport!C54</f>
        <v>0</v>
      </c>
      <c r="D10" s="461">
        <f>transport!D54</f>
        <v>0</v>
      </c>
      <c r="E10" s="461">
        <f>transport!E54</f>
        <v>0</v>
      </c>
      <c r="F10" s="461">
        <f>transport!F54</f>
        <v>0</v>
      </c>
      <c r="G10" s="461">
        <f>transport!G54</f>
        <v>1148.7942618191255</v>
      </c>
      <c r="H10" s="461">
        <f>transport!H54</f>
        <v>0</v>
      </c>
      <c r="I10" s="461">
        <f>transport!I54</f>
        <v>0</v>
      </c>
      <c r="J10" s="461">
        <f>transport!J54</f>
        <v>0</v>
      </c>
      <c r="K10" s="461">
        <f>transport!K54</f>
        <v>0</v>
      </c>
      <c r="L10" s="461">
        <f>transport!L54</f>
        <v>0</v>
      </c>
      <c r="M10" s="461">
        <f>transport!M54</f>
        <v>50.445451091150424</v>
      </c>
      <c r="N10" s="461">
        <f>transport!N54</f>
        <v>0</v>
      </c>
      <c r="O10" s="461">
        <f>transport!O54</f>
        <v>0</v>
      </c>
      <c r="P10" s="462">
        <f>transport!P54</f>
        <v>0</v>
      </c>
      <c r="Q10" s="460">
        <f t="shared" si="0"/>
        <v>1199.239712910276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733.52992751904208</v>
      </c>
      <c r="C14" s="468"/>
      <c r="D14" s="468">
        <f>'SEAP template'!E25</f>
        <v>1921.3530962300799</v>
      </c>
      <c r="E14" s="468"/>
      <c r="F14" s="468"/>
      <c r="G14" s="468"/>
      <c r="H14" s="468"/>
      <c r="I14" s="468"/>
      <c r="J14" s="468"/>
      <c r="K14" s="468"/>
      <c r="L14" s="468"/>
      <c r="M14" s="468"/>
      <c r="N14" s="468"/>
      <c r="O14" s="468"/>
      <c r="P14" s="469"/>
      <c r="Q14" s="460">
        <f t="shared" si="0"/>
        <v>2654.883023749122</v>
      </c>
    </row>
    <row r="15" spans="1:17" s="473" customFormat="1">
      <c r="A15" s="470" t="s">
        <v>573</v>
      </c>
      <c r="B15" s="471">
        <f ca="1">SUM(B4:B14)</f>
        <v>33069.124125967384</v>
      </c>
      <c r="C15" s="471">
        <f t="shared" ref="C15:Q15" ca="1" si="1">SUM(C4:C14)</f>
        <v>5.2597402597402594</v>
      </c>
      <c r="D15" s="471">
        <f t="shared" ca="1" si="1"/>
        <v>46259.602173996544</v>
      </c>
      <c r="E15" s="471">
        <f t="shared" si="1"/>
        <v>2190.1027198657084</v>
      </c>
      <c r="F15" s="471">
        <f t="shared" ca="1" si="1"/>
        <v>24376.479201694579</v>
      </c>
      <c r="G15" s="471">
        <f t="shared" si="1"/>
        <v>169207.30600136993</v>
      </c>
      <c r="H15" s="471">
        <f t="shared" si="1"/>
        <v>21620.918639739291</v>
      </c>
      <c r="I15" s="471">
        <f t="shared" si="1"/>
        <v>0</v>
      </c>
      <c r="J15" s="471">
        <f t="shared" si="1"/>
        <v>75.442206514177656</v>
      </c>
      <c r="K15" s="471">
        <f t="shared" si="1"/>
        <v>0</v>
      </c>
      <c r="L15" s="471">
        <f t="shared" ca="1" si="1"/>
        <v>0</v>
      </c>
      <c r="M15" s="471">
        <f t="shared" si="1"/>
        <v>8523.198344714132</v>
      </c>
      <c r="N15" s="471">
        <f t="shared" ca="1" si="1"/>
        <v>5714.1139058367417</v>
      </c>
      <c r="O15" s="471">
        <f t="shared" si="1"/>
        <v>93.8</v>
      </c>
      <c r="P15" s="471">
        <f t="shared" si="1"/>
        <v>95.333333333333343</v>
      </c>
      <c r="Q15" s="471">
        <f t="shared" ca="1" si="1"/>
        <v>311230.68039329152</v>
      </c>
    </row>
    <row r="17" spans="1:17">
      <c r="A17" s="474" t="s">
        <v>574</v>
      </c>
      <c r="B17" s="778">
        <f ca="1">huishoudens!B10</f>
        <v>0.20693519522300668</v>
      </c>
      <c r="C17" s="778">
        <f ca="1">huishoudens!C10</f>
        <v>0.2244444444444445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4813.446940756643</v>
      </c>
      <c r="C22" s="461">
        <f t="shared" ref="C22:C32" ca="1" si="3">C4*$C$17</f>
        <v>0</v>
      </c>
      <c r="D22" s="461">
        <f t="shared" ref="D22:D32" si="4">D4*$D$17</f>
        <v>6818.4922892949126</v>
      </c>
      <c r="E22" s="461">
        <f t="shared" ref="E22:E32" si="5">E4*$E$17</f>
        <v>333.68176409472721</v>
      </c>
      <c r="F22" s="461">
        <f t="shared" ref="F22:F32" si="6">F4*$F$17</f>
        <v>5518.7919681942894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17484.412962340572</v>
      </c>
    </row>
    <row r="23" spans="1:17">
      <c r="A23" s="460" t="s">
        <v>156</v>
      </c>
      <c r="B23" s="461">
        <f t="shared" ca="1" si="2"/>
        <v>1328.8455605262404</v>
      </c>
      <c r="C23" s="461">
        <f t="shared" ca="1" si="3"/>
        <v>0</v>
      </c>
      <c r="D23" s="461">
        <f t="shared" ca="1" si="4"/>
        <v>1779.6349462322605</v>
      </c>
      <c r="E23" s="461">
        <f t="shared" si="5"/>
        <v>14.559966073448372</v>
      </c>
      <c r="F23" s="461">
        <f t="shared" ca="1" si="6"/>
        <v>335.39587616024977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3458.4363489921993</v>
      </c>
    </row>
    <row r="24" spans="1:17">
      <c r="A24" s="460" t="s">
        <v>194</v>
      </c>
      <c r="B24" s="461">
        <f t="shared" ca="1" si="2"/>
        <v>191.24102308209862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191.24102308209862</v>
      </c>
    </row>
    <row r="25" spans="1:17">
      <c r="A25" s="460" t="s">
        <v>112</v>
      </c>
      <c r="B25" s="461">
        <f t="shared" ca="1" si="2"/>
        <v>122.27941812073371</v>
      </c>
      <c r="C25" s="461">
        <f t="shared" ca="1" si="3"/>
        <v>1.1805194805194807</v>
      </c>
      <c r="D25" s="461">
        <f t="shared" si="4"/>
        <v>234.93950162175494</v>
      </c>
      <c r="E25" s="461">
        <f t="shared" si="5"/>
        <v>1.2636495630879232</v>
      </c>
      <c r="F25" s="461">
        <f t="shared" si="6"/>
        <v>514.86279045016818</v>
      </c>
      <c r="G25" s="461">
        <f t="shared" si="7"/>
        <v>0</v>
      </c>
      <c r="H25" s="461">
        <f t="shared" si="8"/>
        <v>0</v>
      </c>
      <c r="I25" s="461">
        <f t="shared" si="9"/>
        <v>0</v>
      </c>
      <c r="J25" s="461">
        <f t="shared" si="10"/>
        <v>25.876708915377822</v>
      </c>
      <c r="K25" s="461">
        <f t="shared" si="11"/>
        <v>0</v>
      </c>
      <c r="L25" s="461">
        <f t="shared" si="12"/>
        <v>0</v>
      </c>
      <c r="M25" s="461">
        <f t="shared" si="13"/>
        <v>0</v>
      </c>
      <c r="N25" s="461">
        <f t="shared" si="14"/>
        <v>0</v>
      </c>
      <c r="O25" s="461">
        <f t="shared" si="15"/>
        <v>0</v>
      </c>
      <c r="P25" s="462">
        <f t="shared" si="16"/>
        <v>0</v>
      </c>
      <c r="Q25" s="460">
        <f t="shared" ca="1" si="17"/>
        <v>900.40258815164202</v>
      </c>
    </row>
    <row r="26" spans="1:17">
      <c r="A26" s="460" t="s">
        <v>685</v>
      </c>
      <c r="B26" s="461">
        <f t="shared" ca="1" si="2"/>
        <v>234.85393297599396</v>
      </c>
      <c r="C26" s="461">
        <f t="shared" ca="1" si="3"/>
        <v>0</v>
      </c>
      <c r="D26" s="461">
        <f t="shared" si="4"/>
        <v>121.37821288086401</v>
      </c>
      <c r="E26" s="461">
        <f t="shared" si="5"/>
        <v>1.9654506027341667</v>
      </c>
      <c r="F26" s="461">
        <f t="shared" si="6"/>
        <v>139.46931204774489</v>
      </c>
      <c r="G26" s="461">
        <f t="shared" si="7"/>
        <v>0</v>
      </c>
      <c r="H26" s="461">
        <f t="shared" si="8"/>
        <v>0</v>
      </c>
      <c r="I26" s="461">
        <f t="shared" si="9"/>
        <v>0</v>
      </c>
      <c r="J26" s="461">
        <f t="shared" si="10"/>
        <v>0.82983219064107039</v>
      </c>
      <c r="K26" s="461">
        <f t="shared" si="11"/>
        <v>0</v>
      </c>
      <c r="L26" s="461">
        <f t="shared" si="12"/>
        <v>0</v>
      </c>
      <c r="M26" s="461">
        <f t="shared" si="13"/>
        <v>0</v>
      </c>
      <c r="N26" s="461">
        <f t="shared" si="14"/>
        <v>0</v>
      </c>
      <c r="O26" s="461">
        <f t="shared" si="15"/>
        <v>0</v>
      </c>
      <c r="P26" s="462">
        <f t="shared" si="16"/>
        <v>0</v>
      </c>
      <c r="Q26" s="460">
        <f t="shared" ca="1" si="17"/>
        <v>498.49674069797811</v>
      </c>
    </row>
    <row r="27" spans="1:17" s="466" customFormat="1">
      <c r="A27" s="464" t="s">
        <v>579</v>
      </c>
      <c r="B27" s="772">
        <f t="shared" ca="1" si="2"/>
        <v>0.70562264612012571</v>
      </c>
      <c r="C27" s="465">
        <f t="shared" ca="1" si="3"/>
        <v>0</v>
      </c>
      <c r="D27" s="465">
        <f t="shared" si="4"/>
        <v>1.8813636790337549</v>
      </c>
      <c r="E27" s="465">
        <f t="shared" si="5"/>
        <v>145.68248707551817</v>
      </c>
      <c r="F27" s="465">
        <f t="shared" si="6"/>
        <v>0</v>
      </c>
      <c r="G27" s="465">
        <f t="shared" si="7"/>
        <v>44871.622634460065</v>
      </c>
      <c r="H27" s="465">
        <f t="shared" si="8"/>
        <v>5383.6087412950837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50403.500849155826</v>
      </c>
    </row>
    <row r="28" spans="1:17">
      <c r="A28" s="460" t="s">
        <v>569</v>
      </c>
      <c r="B28" s="461">
        <f t="shared" ca="1" si="2"/>
        <v>0</v>
      </c>
      <c r="C28" s="461">
        <f t="shared" ca="1" si="3"/>
        <v>0</v>
      </c>
      <c r="D28" s="461">
        <f t="shared" si="4"/>
        <v>0</v>
      </c>
      <c r="E28" s="461">
        <f t="shared" si="5"/>
        <v>0</v>
      </c>
      <c r="F28" s="461">
        <f t="shared" si="6"/>
        <v>0</v>
      </c>
      <c r="G28" s="461">
        <f t="shared" si="7"/>
        <v>306.72806790570655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306.72806790570655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151.79315875307091</v>
      </c>
      <c r="C32" s="461">
        <f t="shared" ca="1" si="3"/>
        <v>0</v>
      </c>
      <c r="D32" s="461">
        <f t="shared" si="4"/>
        <v>388.11332543847618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539.90648419154707</v>
      </c>
    </row>
    <row r="33" spans="1:17" s="473" customFormat="1">
      <c r="A33" s="470" t="s">
        <v>573</v>
      </c>
      <c r="B33" s="471">
        <f ca="1">SUM(B22:B32)</f>
        <v>6843.1656568609014</v>
      </c>
      <c r="C33" s="471">
        <f t="shared" ref="C33:Q33" ca="1" si="18">SUM(C22:C32)</f>
        <v>1.1805194805194807</v>
      </c>
      <c r="D33" s="471">
        <f t="shared" ca="1" si="18"/>
        <v>9344.4396391473019</v>
      </c>
      <c r="E33" s="471">
        <f t="shared" si="18"/>
        <v>497.15331740951586</v>
      </c>
      <c r="F33" s="471">
        <f t="shared" ca="1" si="18"/>
        <v>6508.5199468524524</v>
      </c>
      <c r="G33" s="471">
        <f t="shared" si="18"/>
        <v>45178.350702365773</v>
      </c>
      <c r="H33" s="471">
        <f t="shared" si="18"/>
        <v>5383.6087412950837</v>
      </c>
      <c r="I33" s="471">
        <f t="shared" si="18"/>
        <v>0</v>
      </c>
      <c r="J33" s="471">
        <f t="shared" si="18"/>
        <v>26.706541106018893</v>
      </c>
      <c r="K33" s="471">
        <f t="shared" si="18"/>
        <v>0</v>
      </c>
      <c r="L33" s="471">
        <f t="shared" ca="1" si="18"/>
        <v>0</v>
      </c>
      <c r="M33" s="471">
        <f t="shared" si="18"/>
        <v>0</v>
      </c>
      <c r="N33" s="471">
        <f t="shared" ca="1" si="18"/>
        <v>0</v>
      </c>
      <c r="O33" s="471">
        <f t="shared" si="18"/>
        <v>0</v>
      </c>
      <c r="P33" s="471">
        <f t="shared" si="18"/>
        <v>0</v>
      </c>
      <c r="Q33" s="471">
        <f t="shared" ca="1" si="18"/>
        <v>73783.125064517561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2104.5900378032316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1.051948051948052</v>
      </c>
      <c r="D8" s="1037">
        <f>'SEAP template'!D76</f>
        <v>1.168831168831169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0.23610389610389615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2104.5900378032316</v>
      </c>
      <c r="C10" s="1041">
        <f>SUM(C4:C9)</f>
        <v>1.051948051948052</v>
      </c>
      <c r="D10" s="1041">
        <f t="shared" ref="D10:H10" si="0">SUM(D8:D9)</f>
        <v>1.168831168831169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0.23610389610389615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0.20693519522300668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5.2597402597402594</v>
      </c>
      <c r="D17" s="1038">
        <f>'SEAP template'!D87</f>
        <v>5.8441558441558445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1.1805194805194807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5.2597402597402594</v>
      </c>
      <c r="D20" s="1041">
        <f t="shared" ref="D20:H20" si="2">SUM(D17:D19)</f>
        <v>5.8441558441558445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1.1805194805194807</v>
      </c>
    </row>
    <row r="22" spans="1:16">
      <c r="A22" s="474" t="s">
        <v>932</v>
      </c>
      <c r="B22" s="778" t="s">
        <v>926</v>
      </c>
      <c r="C22" s="778">
        <f ca="1">'EF ele_warmte'!B22</f>
        <v>0.2244444444444445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0.20693519522300668</v>
      </c>
      <c r="C17" s="510">
        <f ca="1">'EF ele_warmte'!B22</f>
        <v>0.2244444444444445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2019-08-12T07:55:34Z</dcterms:modified>
</cp:coreProperties>
</file>