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18" l="1"/>
  <c r="O9"/>
  <c r="O19"/>
  <c r="C98"/>
  <c r="D101" s="1"/>
  <c r="B10"/>
  <c r="I102"/>
  <c r="H17" s="1"/>
  <c r="H20" s="1"/>
  <c r="E102"/>
  <c r="E17" s="1"/>
  <c r="E20" s="1"/>
  <c r="G102"/>
  <c r="C102"/>
  <c r="H102"/>
  <c r="D102"/>
  <c r="F102"/>
  <c r="B102"/>
  <c r="C17" s="1"/>
  <c r="F101"/>
  <c r="N6" i="17"/>
  <c r="L6"/>
  <c r="F6"/>
  <c r="D6"/>
  <c r="C6"/>
  <c r="N16" i="16"/>
  <c r="L16"/>
  <c r="F16"/>
  <c r="D16"/>
  <c r="C16"/>
  <c r="B16"/>
  <c r="B13" i="15"/>
  <c r="B101" i="18" l="1"/>
  <c r="C8" s="1"/>
  <c r="I101"/>
  <c r="H8" s="1"/>
  <c r="H10" s="1"/>
  <c r="E101"/>
  <c r="E8" s="1"/>
  <c r="E10" s="1"/>
  <c r="G101"/>
  <c r="I8" s="1"/>
  <c r="C101"/>
  <c r="H101"/>
  <c r="C10"/>
  <c r="C20"/>
  <c r="I17"/>
  <c r="I20" s="1"/>
  <c r="J17"/>
  <c r="J20" s="1"/>
  <c r="B19" i="6"/>
  <c r="B18"/>
  <c r="B5"/>
  <c r="C29" i="14" s="1"/>
  <c r="B6" i="6"/>
  <c r="C64" i="14" s="1"/>
  <c r="P7" i="48"/>
  <c r="O7"/>
  <c r="O25" s="1"/>
  <c r="M7"/>
  <c r="K7"/>
  <c r="I7"/>
  <c r="H7"/>
  <c r="G7"/>
  <c r="P10"/>
  <c r="P28" s="1"/>
  <c r="O10"/>
  <c r="O28" s="1"/>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H76"/>
  <c r="H8" i="56" s="1"/>
  <c r="G76" i="14"/>
  <c r="G8" i="56" s="1"/>
  <c r="F76" i="14"/>
  <c r="F8" i="56" s="1"/>
  <c r="E76" i="14"/>
  <c r="D76"/>
  <c r="B75"/>
  <c r="B7" i="56" s="1"/>
  <c r="B74" i="14"/>
  <c r="B6" i="56" s="1"/>
  <c r="B73" i="14"/>
  <c r="B5" i="56" s="1"/>
  <c r="B72" i="14"/>
  <c r="B4" i="56" s="1"/>
  <c r="Q54" i="14"/>
  <c r="P54"/>
  <c r="L54"/>
  <c r="L56" s="1"/>
  <c r="J54"/>
  <c r="I54"/>
  <c r="I56" s="1"/>
  <c r="H54"/>
  <c r="Q24"/>
  <c r="P24"/>
  <c r="P26" s="1"/>
  <c r="N24"/>
  <c r="L24"/>
  <c r="L26" s="1"/>
  <c r="J24"/>
  <c r="I24"/>
  <c r="H24"/>
  <c r="Q50"/>
  <c r="P50"/>
  <c r="O50"/>
  <c r="M50"/>
  <c r="L50"/>
  <c r="K50"/>
  <c r="J50"/>
  <c r="G50"/>
  <c r="D50"/>
  <c r="Q49"/>
  <c r="P49"/>
  <c r="P52" s="1"/>
  <c r="Q20"/>
  <c r="P20"/>
  <c r="O20"/>
  <c r="M20"/>
  <c r="L20"/>
  <c r="K20"/>
  <c r="J20"/>
  <c r="G20"/>
  <c r="D20"/>
  <c r="Q19"/>
  <c r="P19"/>
  <c r="O19"/>
  <c r="M19"/>
  <c r="L19"/>
  <c r="L22" s="1"/>
  <c r="K19"/>
  <c r="K22" s="1"/>
  <c r="J19"/>
  <c r="J22" s="1"/>
  <c r="I19"/>
  <c r="G19"/>
  <c r="F19"/>
  <c r="E19"/>
  <c r="D19"/>
  <c r="Q48"/>
  <c r="P48"/>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F90"/>
  <c r="R78"/>
  <c r="P56"/>
  <c r="J56"/>
  <c r="H56"/>
  <c r="Q56"/>
  <c r="Q52"/>
  <c r="R44"/>
  <c r="Q26"/>
  <c r="N26"/>
  <c r="J26"/>
  <c r="I26"/>
  <c r="E25"/>
  <c r="D14" i="48" s="1"/>
  <c r="C25" i="14"/>
  <c r="B14" i="48" s="1"/>
  <c r="H26" i="14"/>
  <c r="M22"/>
  <c r="D22"/>
  <c r="F13" i="15"/>
  <c r="D13"/>
  <c r="C13"/>
  <c r="E8" i="56" l="1"/>
  <c r="E10" s="1"/>
  <c r="I10" i="18"/>
  <c r="I76" i="14"/>
  <c r="I8" i="56" s="1"/>
  <c r="I10" s="1"/>
  <c r="D8"/>
  <c r="Q76" i="14"/>
  <c r="P8" i="56" s="1"/>
  <c r="M78" i="14"/>
  <c r="M8" i="56"/>
  <c r="M10" s="1"/>
  <c r="N17"/>
  <c r="N90" i="14"/>
  <c r="L8" i="56"/>
  <c r="L78" i="14"/>
  <c r="H78"/>
  <c r="H9" i="56"/>
  <c r="H10" s="1"/>
  <c r="Q87" i="14"/>
  <c r="P17" i="56" s="1"/>
  <c r="D17"/>
  <c r="D19"/>
  <c r="Q89" i="14"/>
  <c r="P19" i="56" s="1"/>
  <c r="P32" i="48"/>
  <c r="P31"/>
  <c r="P25"/>
  <c r="J8" i="18"/>
  <c r="Q14" i="48"/>
  <c r="H90" i="14"/>
  <c r="P27" i="48"/>
  <c r="K78" i="14"/>
  <c r="K8" i="56"/>
  <c r="K10" s="1"/>
  <c r="O78" i="14"/>
  <c r="O9" i="56"/>
  <c r="L90" i="14"/>
  <c r="L17" i="56"/>
  <c r="L20" s="1"/>
  <c r="G90" i="14"/>
  <c r="G18" i="56"/>
  <c r="G20" s="1"/>
  <c r="O90" i="14"/>
  <c r="O18" i="56"/>
  <c r="O20" s="1"/>
  <c r="C77" i="14"/>
  <c r="C9" i="56" s="1"/>
  <c r="D9"/>
  <c r="Q88" i="14"/>
  <c r="P18" i="56" s="1"/>
  <c r="D18"/>
  <c r="K90" i="14"/>
  <c r="K18" i="56"/>
  <c r="K20" s="1"/>
  <c r="N78" i="14"/>
  <c r="N8" i="56"/>
  <c r="N10" s="1"/>
  <c r="N20"/>
  <c r="G78" i="14"/>
  <c r="I20" i="56"/>
  <c r="L10"/>
  <c r="H20"/>
  <c r="F78" i="14"/>
  <c r="G10" i="56"/>
  <c r="O10"/>
  <c r="C88" i="14"/>
  <c r="C18" i="56" s="1"/>
  <c r="F10"/>
  <c r="F20"/>
  <c r="D78" i="14"/>
  <c r="Q77"/>
  <c r="O17" i="18"/>
  <c r="O20" s="1"/>
  <c r="J87" i="14"/>
  <c r="B88"/>
  <c r="B18" i="56" s="1"/>
  <c r="C89" i="14"/>
  <c r="C19" i="56" s="1"/>
  <c r="B89" i="14"/>
  <c r="B19" i="56" s="1"/>
  <c r="B77" i="14"/>
  <c r="B9" i="56" s="1"/>
  <c r="N13" i="15"/>
  <c r="L13"/>
  <c r="O24" i="48"/>
  <c r="O30"/>
  <c r="P24"/>
  <c r="P30"/>
  <c r="R9" i="14"/>
  <c r="E78"/>
  <c r="E55"/>
  <c r="R25"/>
  <c r="E90"/>
  <c r="I90"/>
  <c r="M90"/>
  <c r="D90"/>
  <c r="J90" l="1"/>
  <c r="J17" i="56"/>
  <c r="J20" s="1"/>
  <c r="J10" i="18"/>
  <c r="J76" i="14"/>
  <c r="Q78"/>
  <c r="B9" i="6" s="1"/>
  <c r="P9" i="56"/>
  <c r="P10" s="1"/>
  <c r="Q90" i="14"/>
  <c r="B17" i="6" s="1"/>
  <c r="D10" i="56"/>
  <c r="O8" i="18"/>
  <c r="O10" s="1"/>
  <c r="P20" i="56"/>
  <c r="I78" i="14"/>
  <c r="C87"/>
  <c r="C17" i="56" s="1"/>
  <c r="C20" s="1"/>
  <c r="D20"/>
  <c r="B87" i="14"/>
  <c r="J8" i="56" l="1"/>
  <c r="J10" s="1"/>
  <c r="J78" i="14"/>
  <c r="B90"/>
  <c r="B17" i="56"/>
  <c r="B20" s="1"/>
  <c r="C76" i="14"/>
  <c r="C90"/>
  <c r="B76"/>
  <c r="D5" i="17"/>
  <c r="C8" i="56" l="1"/>
  <c r="C10" s="1"/>
  <c r="C78" i="14"/>
  <c r="B8" i="56"/>
  <c r="B10" s="1"/>
  <c r="B78" i="14"/>
  <c r="B4" i="6" s="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H32"/>
  <c r="H29"/>
  <c r="H25"/>
  <c r="H26"/>
  <c r="H22"/>
  <c r="H30"/>
  <c r="H28"/>
  <c r="H24"/>
  <c r="H23"/>
  <c r="D11" i="14"/>
  <c r="C4" i="48"/>
  <c r="G32"/>
  <c r="G25"/>
  <c r="G26"/>
  <c r="G29"/>
  <c r="G24"/>
  <c r="G22"/>
  <c r="G30"/>
  <c r="G23"/>
  <c r="C11" i="14"/>
  <c r="B4" i="48"/>
  <c r="F32"/>
  <c r="F30"/>
  <c r="F24"/>
  <c r="F28"/>
  <c r="F27"/>
  <c r="F29"/>
  <c r="F31"/>
  <c r="N24"/>
  <c r="N32"/>
  <c r="N30"/>
  <c r="N31"/>
  <c r="N28"/>
  <c r="N27"/>
  <c r="N29"/>
  <c r="B10"/>
  <c r="C19" i="14"/>
  <c r="E32" i="48"/>
  <c r="E28"/>
  <c r="E29"/>
  <c r="E24"/>
  <c r="E31"/>
  <c r="E30"/>
  <c r="M12" i="13"/>
  <c r="N41" i="14" s="1"/>
  <c r="M17" i="48"/>
  <c r="L10" i="14"/>
  <c r="L16" s="1"/>
  <c r="L27" s="1"/>
  <c r="K5" i="48"/>
  <c r="D30"/>
  <c r="D28"/>
  <c r="D24"/>
  <c r="D32"/>
  <c r="D29"/>
  <c r="D31"/>
  <c r="L28"/>
  <c r="L32"/>
  <c r="L27"/>
  <c r="L29"/>
  <c r="L22"/>
  <c r="L31"/>
  <c r="L30"/>
  <c r="L24"/>
  <c r="Q10" i="14"/>
  <c r="P5" i="48"/>
  <c r="P23" s="1"/>
  <c r="K28"/>
  <c r="K32"/>
  <c r="K27"/>
  <c r="K31"/>
  <c r="K26"/>
  <c r="K24"/>
  <c r="K29"/>
  <c r="K22"/>
  <c r="K25"/>
  <c r="K30"/>
  <c r="J10" i="14"/>
  <c r="J16" s="1"/>
  <c r="J27" s="1"/>
  <c r="I5" i="48"/>
  <c r="J24"/>
  <c r="J32"/>
  <c r="J30"/>
  <c r="J28"/>
  <c r="J27"/>
  <c r="J31"/>
  <c r="J29"/>
  <c r="Q11" i="14"/>
  <c r="P4" i="48"/>
  <c r="C24" i="14"/>
  <c r="C26" s="1"/>
  <c r="B7" i="48"/>
  <c r="O4"/>
  <c r="P11" i="14"/>
  <c r="I27" i="48"/>
  <c r="I32"/>
  <c r="I22"/>
  <c r="I31"/>
  <c r="I25"/>
  <c r="I29"/>
  <c r="I24"/>
  <c r="I28"/>
  <c r="I26"/>
  <c r="I30"/>
  <c r="N46" i="14"/>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F4" i="48" l="1"/>
  <c r="F22" s="1"/>
  <c r="G11" i="14"/>
  <c r="H13" i="48"/>
  <c r="H31" s="1"/>
  <c r="I18" i="14"/>
  <c r="P8" i="48"/>
  <c r="P26" s="1"/>
  <c r="Q13" i="14"/>
  <c r="I23" i="48"/>
  <c r="I15"/>
  <c r="H18" i="14"/>
  <c r="G13" i="48"/>
  <c r="N18" i="14"/>
  <c r="M13" i="48"/>
  <c r="M31" s="1"/>
  <c r="P15"/>
  <c r="P22"/>
  <c r="J12" i="17"/>
  <c r="K54" i="14" s="1"/>
  <c r="K56" s="1"/>
  <c r="J7" i="48"/>
  <c r="J25" s="1"/>
  <c r="K24" i="14"/>
  <c r="K26" s="1"/>
  <c r="M32" i="48"/>
  <c r="M26"/>
  <c r="M25"/>
  <c r="M22"/>
  <c r="M30"/>
  <c r="M29"/>
  <c r="M24"/>
  <c r="M23"/>
  <c r="O22"/>
  <c r="K15"/>
  <c r="K23"/>
  <c r="K33" s="1"/>
  <c r="O5"/>
  <c r="O23" s="1"/>
  <c r="P10" i="14"/>
  <c r="J46"/>
  <c r="J61" s="1"/>
  <c r="J63" s="1"/>
  <c r="Q16"/>
  <c r="Q27" s="1"/>
  <c r="L63"/>
  <c r="I33" i="48"/>
  <c r="L46" i="14"/>
  <c r="L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8" i="48"/>
  <c r="P13" i="14"/>
  <c r="N19"/>
  <c r="M10" i="48"/>
  <c r="M28" s="1"/>
  <c r="D9"/>
  <c r="D27" s="1"/>
  <c r="E20" i="14"/>
  <c r="E22" s="1"/>
  <c r="B9" i="48"/>
  <c r="C20" i="14"/>
  <c r="E12" i="13"/>
  <c r="F41" i="14" s="1"/>
  <c r="E4" i="48"/>
  <c r="F11" i="14"/>
  <c r="R11" s="1"/>
  <c r="H19"/>
  <c r="G10" i="48"/>
  <c r="K11" i="14"/>
  <c r="J4" i="48"/>
  <c r="E7"/>
  <c r="E25" s="1"/>
  <c r="F24" i="14"/>
  <c r="F26" s="1"/>
  <c r="R18"/>
  <c r="F20"/>
  <c r="F22" s="1"/>
  <c r="E9" i="48"/>
  <c r="E27" s="1"/>
  <c r="G31"/>
  <c r="Q13"/>
  <c r="D18" i="22"/>
  <c r="E50" i="14" s="1"/>
  <c r="E52" s="1"/>
  <c r="Q63"/>
  <c r="P33" i="48"/>
  <c r="M14" i="22"/>
  <c r="P16" i="14"/>
  <c r="P27" s="1"/>
  <c r="E12" i="17"/>
  <c r="F54" i="14" s="1"/>
  <c r="F56" s="1"/>
  <c r="H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F10" l="1"/>
  <c r="E5" i="48"/>
  <c r="E23" s="1"/>
  <c r="E22"/>
  <c r="Q4"/>
  <c r="I20" i="14"/>
  <c r="I22" s="1"/>
  <c r="I27" s="1"/>
  <c r="H9" i="48"/>
  <c r="G28"/>
  <c r="Q10"/>
  <c r="H20" i="14"/>
  <c r="H22" s="1"/>
  <c r="H27" s="1"/>
  <c r="H63" s="1"/>
  <c r="G9" i="48"/>
  <c r="J22"/>
  <c r="K10" i="14"/>
  <c r="J5" i="48"/>
  <c r="J23" s="1"/>
  <c r="C22" i="14"/>
  <c r="N20"/>
  <c r="N22" s="1"/>
  <c r="N27" s="1"/>
  <c r="N63" s="1"/>
  <c r="M9" i="48"/>
  <c r="O26"/>
  <c r="O33" s="1"/>
  <c r="O15"/>
  <c r="R19" i="14"/>
  <c r="H18" i="22"/>
  <c r="I50" i="14" s="1"/>
  <c r="I52" s="1"/>
  <c r="I61" s="1"/>
  <c r="I63"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M27"/>
  <c r="M33" s="1"/>
  <c r="M15"/>
  <c r="G27"/>
  <c r="G33" s="1"/>
  <c r="G15"/>
  <c r="E8"/>
  <c r="E26" s="1"/>
  <c r="E33" s="1"/>
  <c r="F13" i="14"/>
  <c r="H27" i="48"/>
  <c r="H33" s="1"/>
  <c r="H15"/>
  <c r="Q5"/>
  <c r="E15"/>
  <c r="F46" i="14"/>
  <c r="F61" s="1"/>
  <c r="K16"/>
  <c r="K27" s="1"/>
  <c r="R10"/>
  <c r="R20"/>
  <c r="R22" s="1"/>
  <c r="Q9" i="48"/>
  <c r="F16" i="14"/>
  <c r="F27" s="1"/>
  <c r="F63"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<sst xmlns="http://schemas.openxmlformats.org/spreadsheetml/2006/main" count="2513" uniqueCount="963">
  <si>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</si>
  <si>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</si>
  <si>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</si>
  <si>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</si>
  <si>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</si>
  <si>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</si>
  <si>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</si>
  <si>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</si>
  <si>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</si>
  <si>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</si>
  <si>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</si>
  <si>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</si>
  <si>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</si>
  <si>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</si>
  <si>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</si>
  <si>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</si>
  <si>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</si>
  <si>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</si>
  <si>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</si>
  <si>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</si>
  <si>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</si>
  <si>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</si>
  <si>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</si>
  <si>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</si>
  <si>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</si>
  <si>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</si>
  <si>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</si>
  <si>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</si>
  <si>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</si>
  <si>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</si>
  <si>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</si>
  <si>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</si>
  <si>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</si>
  <si>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</si>
  <si>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</si>
  <si>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</si>
  <si>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</si>
  <si>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</si>
  <si>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</si>
  <si>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</si>
  <si>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</si>
  <si>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</si>
  <si>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</si>
  <si>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</si>
  <si>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</si>
  <si>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</si>
  <si>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</si>
  <si>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</si>
  <si>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</si>
  <si>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</si>
  <si>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</si>
  <si>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</si>
  <si>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</si>
  <si>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</si>
  <si>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</si>
  <si>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</si>
  <si>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</si>
  <si>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</si>
  <si>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</si>
  <si>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</si>
  <si>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</si>
  <si>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</si>
  <si>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</si>
  <si>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</si>
  <si>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</si>
  <si>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</si>
  <si>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</si>
  <si>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</si>
  <si>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</si>
  <si>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</si>
  <si>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</si>
  <si>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</si>
  <si>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</si>
  <si>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</si>
  <si>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</si>
  <si>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</si>
  <si>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</si>
  <si>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</si>
  <si>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</si>
  <si>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</si>
  <si>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</si>
  <si>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</si>
  <si>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</si>
  <si>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</si>
  <si>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</si>
  <si>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</si>
  <si>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</si>
  <si>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</si>
  <si>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</si>
  <si>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</si>
  <si>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</si>
  <si>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</si>
  <si>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</si>
  <si>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</si>
  <si>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</si>
  <si>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</si>
  <si>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</si>
  <si>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</si>
  <si>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</si>
  <si>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</si>
  <si>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</si>
  <si>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</si>
  <si>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</si>
  <si>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</si>
  <si>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</si>
  <si>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</si>
  <si>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</si>
  <si>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</si>
  <si>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</si>
  <si>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</si>
  <si>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</si>
  <si>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</si>
  <si>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</si>
  <si>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</si>
  <si>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</si>
  <si>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</si>
  <si>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</si>
  <si>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</si>
  <si>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</si>
  <si>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</si>
  <si>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</si>
  <si>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</si>
  <si>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</si>
  <si>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</si>
  <si>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</si>
  <si>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</si>
  <si>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</si>
  <si>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</si>
  <si>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</si>
  <si>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</si>
  <si>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</si>
  <si>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</si>
  <si>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</si>
  <si>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</si>
  <si>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</si>
  <si>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</si>
  <si>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</si>
  <si>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</si>
  <si>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</si>
  <si>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</si>
  <si>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</si>
  <si>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</si>
  <si>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</si>
  <si>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</si>
  <si>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</si>
  <si>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</si>
  <si>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</si>
  <si>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</si>
  <si>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</si>
  <si>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</si>
  <si>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</si>
  <si>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</si>
  <si>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</si>
  <si>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</si>
  <si>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</si>
  <si>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</si>
  <si>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</si>
  <si>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</si>
  <si>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</si>
  <si>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</si>
  <si>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</si>
  <si>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</si>
  <si>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</si>
  <si>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</si>
  <si>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</si>
  <si>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</si>
  <si>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</si>
  <si>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</si>
  <si>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</si>
  <si>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</si>
  <si>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</si>
  <si>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</si>
  <si>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</si>
  <si>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</si>
  <si>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</si>
  <si>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</si>
  <si>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</si>
  <si>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</si>
  <si>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</si>
  <si>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</si>
  <si>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</si>
  <si>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</si>
  <si>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</si>
  <si>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</si>
  <si>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</si>
  <si>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</si>
  <si>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</si>
  <si>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</si>
  <si>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</si>
  <si>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</si>
  <si>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</si>
  <si>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</si>
  <si>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</si>
  <si>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</si>
  <si>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</si>
  <si>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</si>
  <si>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</si>
  <si>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</si>
  <si>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</si>
  <si>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</si>
  <si>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</si>
  <si>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</si>
  <si>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</si>
  <si>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</si>
  <si>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</si>
  <si>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</si>
  <si>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</si>
  <si>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</si>
  <si>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</si>
  <si>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</si>
  <si>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</si>
  <si>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</si>
  <si>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</si>
  <si>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</si>
  <si>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</si>
  <si>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</si>
  <si>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</si>
  <si>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</si>
  <si>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</si>
  <si>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</si>
  <si>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</si>
  <si>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</si>
  <si>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</si>
  <si>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</si>
  <si>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</si>
  <si>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</si>
  <si>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</si>
  <si>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</si>
  <si>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</si>
  <si>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</si>
  <si>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</si>
  <si>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</si>
  <si>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</si>
  <si>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</si>
  <si>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</si>
  <si>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</si>
  <si>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</si>
  <si>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</si>
  <si>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</si>
  <si>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</si>
  <si>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</si>
  <si>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</si>
  <si>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</si>
  <si>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</si>
  <si>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</si>
  <si>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</si>
  <si>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</si>
  <si>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</si>
  <si>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</si>
  <si>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</si>
  <si>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</si>
  <si>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</si>
  <si>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</si>
  <si>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</si>
  <si>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</si>
  <si>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</si>
  <si>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</si>
  <si>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</si>
  <si>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</si>
  <si>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</si>
  <si>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</si>
  <si>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</si>
  <si>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</si>
  <si>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</si>
  <si>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</si>
  <si>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</si>
  <si>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</si>
  <si>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</si>
  <si>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</si>
  <si>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</si>
  <si>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</si>
  <si>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</si>
  <si>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</si>
  <si>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</si>
  <si>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</si>
  <si>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</si>
  <si>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</si>
  <si>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</si>
  <si>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</si>
  <si>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</si>
  <si>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</si>
  <si>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</si>
  <si>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</si>
  <si>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</si>
  <si>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</si>
  <si>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</si>
  <si>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</si>
  <si>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</si>
  <si>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</si>
  <si>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</si>
  <si>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</si>
  <si>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</si>
  <si>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</si>
  <si>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</si>
  <si>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</si>
  <si>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</si>
  <si>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</si>
  <si>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</si>
  <si>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</si>
  <si>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</si>
  <si>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</si>
  <si>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</si>
  <si>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</si>
  <si>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</si>
  <si>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</si>
  <si>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</si>
  <si>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</si>
  <si>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</si>
  <si>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</si>
  <si>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</si>
  <si>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</si>
  <si>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</si>
  <si>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</si>
  <si>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</si>
  <si>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</si>
  <si>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</si>
  <si>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</si>
  <si>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</si>
  <si>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</si>
  <si>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</si>
  <si>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</si>
  <si>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</si>
  <si>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</si>
  <si>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</si>
  <si>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</si>
  <si>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</si>
  <si>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</si>
  <si>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</si>
  <si>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</si>
  <si>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</si>
  <si>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</si>
  <si>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</si>
  <si>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</si>
  <si>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</si>
  <si>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</si>
  <si>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</si>
  <si>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</si>
  <si>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</si>
  <si>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</si>
  <si>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</si>
  <si>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</si>
  <si>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</si>
  <si>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</si>
  <si>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</si>
  <si>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</si>
  <si>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</si>
  <si>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</si>
  <si>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</si>
  <si>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</si>
  <si>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</si>
  <si>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</si>
  <si>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</si>
  <si>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</si>
  <si>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</si>
  <si>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</si>
  <si>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</si>
  <si>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</si>
  <si>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</si>
  <si>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</si>
  <si>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</si>
  <si>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</si>
  <si>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</si>
  <si>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</si>
  <si>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</si>
  <si>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</si>
  <si>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</si>
  <si>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</si>
  <si>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</si>
  <si>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</si>
  <si>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</si>
  <si>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</si>
  <si>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</si>
  <si>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</si>
  <si>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</si>
  <si>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</si>
  <si>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</si>
  <si>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</si>
  <si>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</si>
  <si>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</si>
  <si>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</si>
  <si>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</si>
  <si>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</si>
  <si>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</si>
  <si>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</si>
  <si>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</si>
  <si>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</si>
  <si>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</si>
  <si>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</si>
  <si>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</si>
  <si>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</si>
  <si>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</si>
  <si>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</si>
  <si>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</si>
  <si>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</si>
  <si>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</si>
  <si>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</si>
  <si>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</si>
  <si>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</si>
  <si>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</si>
  <si>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</si>
  <si>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</si>
  <si>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</si>
  <si>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</si>
  <si>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</si>
  <si>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</si>
  <si>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</si>
  <si>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</si>
  <si>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</si>
  <si>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</si>
  <si>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</si>
  <si>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</si>
  <si>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</si>
  <si>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</si>
  <si>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</si>
  <si>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</si>
  <si>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</si>
  <si>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</si>
  <si>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</si>
  <si>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</si>
  <si>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</si>
  <si>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</si>
  <si>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</si>
  <si>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</si>
  <si>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</si>
  <si>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</si>
  <si>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</si>
  <si>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</si>
  <si>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</si>
  <si>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</si>
  <si>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</si>
  <si>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</si>
  <si>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</si>
  <si>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</si>
  <si>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</si>
  <si>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</si>
  <si>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</si>
  <si>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</si>
  <si>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</si>
  <si>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</si>
  <si>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</si>
  <si>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</si>
  <si>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</si>
  <si>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</si>
  <si>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</si>
  <si>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</si>
  <si>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</si>
  <si>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</si>
  <si>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</si>
  <si>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</si>
  <si>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</si>
  <si>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</si>
  <si>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</si>
  <si>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</si>
  <si>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</si>
  <si>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</si>
  <si>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</si>
  <si>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</si>
  <si>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</si>
  <si>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</si>
  <si>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</si>
  <si>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</si>
  <si>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</si>
  <si>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</si>
  <si>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</si>
  <si>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</si>
  <si>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</si>
  <si>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</si>
  <si>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</si>
  <si>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</si>
  <si>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</si>
  <si>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</si>
  <si>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</si>
  <si>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</si>
  <si>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</si>
  <si>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</si>
  <si>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</si>
  <si>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</si>
  <si>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</si>
  <si>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</si>
  <si>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</si>
  <si>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</si>
  <si>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</si>
  <si>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</si>
  <si>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</si>
  <si>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</si>
  <si>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</si>
  <si>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</si>
  <si>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</si>
  <si>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</si>
  <si>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</si>
  <si>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</si>
  <si>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</si>
  <si>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</si>
  <si>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</si>
  <si>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</si>
  <si>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</si>
  <si>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</si>
  <si>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</si>
  <si>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</si>
  <si>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</si>
  <si>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</si>
  <si>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</si>
  <si>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</si>
  <si>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</si>
  <si>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</si>
  <si>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</si>
  <si>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</si>
  <si>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</si>
  <si>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</si>
  <si>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</si>
  <si>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</si>
  <si>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</si>
  <si>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</si>
  <si>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</si>
  <si>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</si>
  <si>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</si>
  <si>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</si>
  <si>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</si>
  <si>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</si>
  <si>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</si>
  <si>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</si>
  <si>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</si>
  <si>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</si>
  <si>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</si>
  <si>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</si>
  <si>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</si>
  <si>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</si>
  <si>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</si>
  <si>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</si>
  <si>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</si>
  <si>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</si>
  <si>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</si>
  <si>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</si>
  <si>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</si>
  <si>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</si>
  <si>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</si>
  <si>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</si>
  <si>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</si>
  <si>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</si>
  <si>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</si>
  <si>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</si>
  <si>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</si>
  <si>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</si>
  <si>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</si>
  <si>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</si>
  <si>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</si>
  <si>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</si>
  <si>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</si>
  <si>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</si>
  <si>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</si>
  <si>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</si>
  <si>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</si>
  <si>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</si>
  <si>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</si>
  <si>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</si>
  <si>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</si>
  <si>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</si>
  <si>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</si>
  <si>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</si>
  <si>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</si>
  <si>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</si>
  <si>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</si>
  <si>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</si>
  <si>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</si>
  <si>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</si>
  <si>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</si>
  <si>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</si>
  <si>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</si>
  <si>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</si>
  <si>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</si>
  <si>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</si>
  <si>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</si>
  <si>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</si>
  <si>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</si>
  <si>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</si>
  <si>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</si>
  <si>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</si>
  <si>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</si>
  <si>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</si>
  <si>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</si>
  <si>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</si>
  <si>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</si>
  <si>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</si>
  <si>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</si>
  <si>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</si>
  <si>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</si>
  <si>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</si>
  <si>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</si>
  <si>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</si>
  <si>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</si>
  <si>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</si>
  <si>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</si>
  <si>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</si>
  <si>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</si>
  <si>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</si>
  <si>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</si>
  <si>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</si>
  <si>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</si>
  <si>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</si>
  <si>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</si>
  <si>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</si>
  <si>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</si>
  <si>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</si>
  <si>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</si>
  <si>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</si>
  <si>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</si>
  <si>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</si>
  <si>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</si>
  <si>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</si>
  <si>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</si>
  <si>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</si>
  <si>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</si>
  <si>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</si>
  <si>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</si>
  <si>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</si>
  <si>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</si>
  <si>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</si>
  <si>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</si>
  <si>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</si>
  <si>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</si>
  <si>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</si>
  <si>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</si>
  <si>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</si>
  <si>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</si>
  <si>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</si>
  <si>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</si>
  <si>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</si>
  <si>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</si>
  <si>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</si>
  <si>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</si>
  <si>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</si>
  <si>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</si>
  <si>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</si>
  <si>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</si>
  <si>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</si>
  <si>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</si>
  <si>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</si>
  <si>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</si>
  <si>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</si>
  <si>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</si>
  <si>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</si>
  <si>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</si>
  <si>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</si>
  <si>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</si>
  <si>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</si>
  <si>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</si>
  <si>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</si>
  <si>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</si>
  <si>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</si>
  <si>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</si>
  <si>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</si>
  <si>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</si>
  <si>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</si>
  <si>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</si>
  <si>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</si>
  <si>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</si>
  <si>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</si>
  <si>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</si>
  <si>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</si>
  <si>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</si>
  <si>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</si>
  <si>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</si>
  <si>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</si>
  <si>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</si>
  <si>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</si>
  <si>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</si>
  <si>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</si>
  <si>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</si>
  <si>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</si>
  <si>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</si>
  <si>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</si>
  <si>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</si>
  <si>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</si>
  <si>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</si>
  <si>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</si>
  <si>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</si>
  <si>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</si>
  <si>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</si>
  <si>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</si>
  <si>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</si>
  <si>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</si>
  <si>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</si>
  <si>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</si>
  <si>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</si>
  <si>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</si>
  <si>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</si>
  <si>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</si>
  <si>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</si>
  <si>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</si>
  <si>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</si>
  <si>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</si>
  <si>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</si>
  <si>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</si>
  <si>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</si>
  <si>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</si>
  <si>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</si>
  <si>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</si>
  <si>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</si>
  <si>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</si>
  <si>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</si>
  <si>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</si>
  <si>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</si>
  <si>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</si>
  <si>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</si>
  <si>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</si>
  <si>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</si>
  <si>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</si>
  <si>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</si>
  <si>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</si>
  <si>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</si>
  <si>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</si>
  <si>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</si>
  <si>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</si>
  <si>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</si>
  <si>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</si>
  <si>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</si>
  <si>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</si>
  <si>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</si>
  <si>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</si>
  <si>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</si>
  <si>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</si>
  <si>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</si>
  <si>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</si>
  <si>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</si>
  <si>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</si>
  <si>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</si>
  <si>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</si>
  <si>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</si>
  <si>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</si>
  <si>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</si>
  <si>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</si>
  <si>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</si>
  <si>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</si>
  <si>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</si>
  <si>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</si>
  <si>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</si>
  <si>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</si>
  <si>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</si>
  <si>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</si>
  <si>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</si>
  <si>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</si>
  <si>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</si>
  <si>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</si>
  <si>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</si>
  <si>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</si>
  <si>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</si>
  <si>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</si>
  <si>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</si>
  <si>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</si>
  <si>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</si>
  <si>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</si>
  <si>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</si>
  <si>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</si>
  <si>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</si>
  <si>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</si>
  <si>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</si>
  <si>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</si>
  <si>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</si>
  <si>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</si>
  <si>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</si>
  <si>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</si>
  <si>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</si>
  <si>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</si>
  <si>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</si>
  <si>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</si>
  <si>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</si>
  <si>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</si>
  <si>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</si>
  <si>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</si>
  <si>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</si>
  <si>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</si>
  <si>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</si>
  <si>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</si>
  <si>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</si>
  <si>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</si>
  <si>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</si>
  <si>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</si>
  <si>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</si>
  <si>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</si>
  <si>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</si>
  <si>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</si>
  <si>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</si>
  <si>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</si>
  <si>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</si>
  <si>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</si>
  <si>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</si>
  <si>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</si>
  <si>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</si>
  <si>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</si>
  <si>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</si>
  <si>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</si>
  <si>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</si>
  <si>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</si>
  <si>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</si>
  <si>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</si>
  <si>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</si>
  <si>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</si>
  <si>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</si>
  <si>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</si>
  <si>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</si>
  <si>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</si>
  <si>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</si>
  <si>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</si>
  <si>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</si>
  <si>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</si>
  <si>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</si>
  <si>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</si>
  <si>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</si>
  <si>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</si>
  <si>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</si>
  <si>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</si>
  <si>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</si>
  <si>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</si>
  <si>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</si>
  <si>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</si>
  <si>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</si>
  <si>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</si>
  <si>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</si>
  <si>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</si>
  <si>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</si>
  <si>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</si>
  <si>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</si>
  <si>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</si>
  <si>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</si>
  <si>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</si>
  <si>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</si>
  <si>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</si>
  <si>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</si>
  <si>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</si>
  <si>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</si>
  <si>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</si>
  <si>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</si>
  <si>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</si>
  <si>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</si>
  <si>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</si>
  <si>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</si>
  <si>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</si>
  <si>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</si>
  <si>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</si>
  <si>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</si>
  <si>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</si>
  <si>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</si>
  <si>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</si>
  <si>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</si>
  <si>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</si>
  <si>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</si>
  <si>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</si>
  <si>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</si>
  <si>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</si>
  <si>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</si>
  <si>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</si>
  <si>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</si>
  <si>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</si>
  <si>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</si>
  <si>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</si>
  <si>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</si>
  <si>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</si>
  <si>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</si>
  <si>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</si>
  <si>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</si>
  <si>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</si>
  <si>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</si>
  <si>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</si>
  <si>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</si>
  <si>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</si>
  <si>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</si>
  <si>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</si>
  <si>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</si>
  <si>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</si>
  <si>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</si>
  <si>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</si>
  <si>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</si>
  <si>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</si>
  <si>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</si>
  <si>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</si>
  <si>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</si>
  <si>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</si>
  <si>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</si>
  <si>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</si>
  <si>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</si>
  <si>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</si>
  <si>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</si>
  <si>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</si>
  <si>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</si>
  <si>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</si>
  <si>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</si>
  <si>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</si>
  <si>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</si>
  <si>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</si>
  <si>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</si>
  <si>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</si>
  <si>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</si>
  <si>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</si>
  <si>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</si>
  <si>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</si>
  <si>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</si>
  <si>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</si>
  <si>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</si>
  <si>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</si>
  <si>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</si>
  <si>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</si>
  <si>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</si>
  <si>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</si>
  <si>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</si>
  <si>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</si>
  <si>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</si>
  <si>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</si>
  <si>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</si>
  <si>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</si>
  <si>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</si>
  <si>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</si>
  <si>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</si>
  <si>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</si>
  <si>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</si>
  <si>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</si>
  <si>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</si>
  <si>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</si>
  <si>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</si>
  <si>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</si>
  <si>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</si>
  <si>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</si>
  <si>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</si>
  <si>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</si>
  <si>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</si>
  <si>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</si>
  <si>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</si>
  <si>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</si>
  <si>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</si>
  <si>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</si>
  <si>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</si>
  <si>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</si>
  <si>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</si>
  <si>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</si>
  <si>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</si>
  <si>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</si>
  <si>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</si>
  <si>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</si>
  <si>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</si>
  <si>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</si>
  <si>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</si>
  <si>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</si>
  <si>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</si>
  <si>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44011</t>
  </si>
  <si>
    <t>DEINZE</t>
  </si>
  <si>
    <t>Paarden&amp;pony's 200 - 600 kg</t>
  </si>
  <si>
    <t>Paarden&amp;pony's &lt; 200 kg</t>
  </si>
  <si>
    <t>op basis van VEA (maart 2018) en Inventaris Hernieuwbare Energiebronnen (juni 2018)</t>
  </si>
  <si>
    <t>VEA (juni 2018)</t>
  </si>
  <si>
    <t>Patoma bvba</t>
  </si>
  <si>
    <t>Wierookstraat 2 , 9800 Deinze</t>
  </si>
  <si>
    <t>WKK-0184 Patoma</t>
  </si>
  <si>
    <t>interne verbrandingsmotor</t>
  </si>
  <si>
    <t>WKK interne verbrandinsgmotor (gas)</t>
  </si>
  <si>
    <t>GASELWEST</t>
  </si>
  <si>
    <t>Dominique Lambert</t>
  </si>
  <si>
    <t>Oostmeersdreef 36 , 9800 Deinze</t>
  </si>
  <si>
    <t>WKK-0354 Dominique Lambert</t>
  </si>
  <si>
    <t>stirlingmotor</t>
  </si>
  <si>
    <t>VC Energy bvba</t>
  </si>
  <si>
    <t>Moerstraat 30 , 9800 Deinze</t>
  </si>
  <si>
    <t>WKK-0219 VC Energy</t>
  </si>
  <si>
    <t>aftap-condensatiestoomturbine</t>
  </si>
  <si>
    <t>WKK interne verbrandingsmotor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</si>
</sst>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44011</v>
      </c>
      <c r="B6" s="397"/>
      <c r="C6" s="398"/>
    </row>
    <row r="7" spans="1:7" s="395" customFormat="1" ht="15.75" customHeight="1">
      <c r="A7" s="399" t="str">
        <f>txtMunicipality</f>
        <v>DEINZE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0.1850941099083129</v>
      </c>
      <c r="C17" s="510">
        <f ca="1">'EF ele_warmte'!B22</f>
        <v>6.2525519537067115E-2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0.1850941099083129</v>
      </c>
      <c r="C29" s="511">
        <f ca="1">'EF ele_warmte'!B22</f>
        <v>6.2525519537067115E-2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12392</v>
      </c>
      <c r="C9" s="338">
        <v>13481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4587</v>
      </c>
    </row>
    <row r="15" spans="1:6">
      <c r="A15" s="1286" t="s">
        <v>184</v>
      </c>
      <c r="B15" s="335">
        <v>64</v>
      </c>
    </row>
    <row r="16" spans="1:6">
      <c r="A16" s="1286" t="s">
        <v>6</v>
      </c>
      <c r="B16" s="335">
        <v>2295</v>
      </c>
    </row>
    <row r="17" spans="1:6">
      <c r="A17" s="1286" t="s">
        <v>7</v>
      </c>
      <c r="B17" s="335">
        <v>1657</v>
      </c>
    </row>
    <row r="18" spans="1:6">
      <c r="A18" s="1286" t="s">
        <v>8</v>
      </c>
      <c r="B18" s="335">
        <v>2504</v>
      </c>
    </row>
    <row r="19" spans="1:6">
      <c r="A19" s="1286" t="s">
        <v>9</v>
      </c>
      <c r="B19" s="335">
        <v>2423</v>
      </c>
    </row>
    <row r="20" spans="1:6">
      <c r="A20" s="1286" t="s">
        <v>10</v>
      </c>
      <c r="B20" s="335">
        <v>1510</v>
      </c>
    </row>
    <row r="21" spans="1:6">
      <c r="A21" s="1286" t="s">
        <v>11</v>
      </c>
      <c r="B21" s="335">
        <v>8648</v>
      </c>
    </row>
    <row r="22" spans="1:6">
      <c r="A22" s="1286" t="s">
        <v>12</v>
      </c>
      <c r="B22" s="335">
        <v>34368</v>
      </c>
    </row>
    <row r="23" spans="1:6">
      <c r="A23" s="1286" t="s">
        <v>13</v>
      </c>
      <c r="B23" s="335">
        <v>496</v>
      </c>
    </row>
    <row r="24" spans="1:6">
      <c r="A24" s="1286" t="s">
        <v>14</v>
      </c>
      <c r="B24" s="335">
        <v>25</v>
      </c>
    </row>
    <row r="25" spans="1:6">
      <c r="A25" s="1286" t="s">
        <v>15</v>
      </c>
      <c r="B25" s="335">
        <v>2750</v>
      </c>
    </row>
    <row r="26" spans="1:6">
      <c r="A26" s="1286" t="s">
        <v>16</v>
      </c>
      <c r="B26" s="335">
        <v>268</v>
      </c>
    </row>
    <row r="27" spans="1:6">
      <c r="A27" s="1286" t="s">
        <v>17</v>
      </c>
      <c r="B27" s="335">
        <v>0</v>
      </c>
    </row>
    <row r="28" spans="1:6" s="341" customFormat="1">
      <c r="A28" s="1287" t="s">
        <v>18</v>
      </c>
      <c r="B28" s="1287">
        <v>326868</v>
      </c>
    </row>
    <row r="29" spans="1:6">
      <c r="A29" s="1287" t="s">
        <v>944</v>
      </c>
      <c r="B29" s="1287">
        <v>152</v>
      </c>
      <c r="C29" s="341"/>
      <c r="D29" s="341"/>
      <c r="E29" s="341"/>
      <c r="F29" s="341"/>
    </row>
    <row r="30" spans="1:6">
      <c r="A30" s="1282" t="s">
        <v>945</v>
      </c>
      <c r="B30" s="1282">
        <v>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70814.122865897996</v>
      </c>
    </row>
    <row r="36" spans="1:6">
      <c r="A36" s="1286" t="s">
        <v>25</v>
      </c>
      <c r="B36" s="1286" t="s">
        <v>27</v>
      </c>
      <c r="C36" s="335">
        <v>0</v>
      </c>
      <c r="D36" s="335">
        <v>0</v>
      </c>
      <c r="E36" s="335">
        <v>5</v>
      </c>
      <c r="F36" s="335">
        <v>19910.834348471999</v>
      </c>
    </row>
    <row r="37" spans="1:6">
      <c r="A37" s="1286" t="s">
        <v>25</v>
      </c>
      <c r="B37" s="1286" t="s">
        <v>28</v>
      </c>
      <c r="C37" s="335">
        <v>0</v>
      </c>
      <c r="D37" s="335">
        <v>0</v>
      </c>
      <c r="E37" s="335">
        <v>0</v>
      </c>
      <c r="F37" s="335">
        <v>0</v>
      </c>
    </row>
    <row r="38" spans="1:6">
      <c r="A38" s="1286" t="s">
        <v>25</v>
      </c>
      <c r="B38" s="1286" t="s">
        <v>29</v>
      </c>
      <c r="C38" s="335">
        <v>2</v>
      </c>
      <c r="D38" s="335">
        <v>60770.178861731998</v>
      </c>
      <c r="E38" s="335">
        <v>3</v>
      </c>
      <c r="F38" s="335">
        <v>419244.64376486</v>
      </c>
    </row>
    <row r="39" spans="1:6">
      <c r="A39" s="1286" t="s">
        <v>30</v>
      </c>
      <c r="B39" s="1286" t="s">
        <v>31</v>
      </c>
      <c r="C39" s="335">
        <v>6492</v>
      </c>
      <c r="D39" s="335">
        <v>103594811.84763101</v>
      </c>
      <c r="E39" s="335">
        <v>12063</v>
      </c>
      <c r="F39" s="335">
        <v>54751370.040899202</v>
      </c>
    </row>
    <row r="40" spans="1:6">
      <c r="A40" s="1286" t="s">
        <v>30</v>
      </c>
      <c r="B40" s="1286" t="s">
        <v>29</v>
      </c>
      <c r="C40" s="335">
        <v>0</v>
      </c>
      <c r="D40" s="335">
        <v>0</v>
      </c>
      <c r="E40" s="335">
        <v>0</v>
      </c>
      <c r="F40" s="335">
        <v>0</v>
      </c>
    </row>
    <row r="41" spans="1:6">
      <c r="A41" s="1286" t="s">
        <v>32</v>
      </c>
      <c r="B41" s="1286" t="s">
        <v>33</v>
      </c>
      <c r="C41" s="335">
        <v>102</v>
      </c>
      <c r="D41" s="335">
        <v>2814673.0036287098</v>
      </c>
      <c r="E41" s="335">
        <v>321</v>
      </c>
      <c r="F41" s="335">
        <v>14971502.6834356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625997.49978058599</v>
      </c>
      <c r="E44" s="335">
        <v>24</v>
      </c>
      <c r="F44" s="335">
        <v>3224602.1349607999</v>
      </c>
    </row>
    <row r="45" spans="1:6">
      <c r="A45" s="1286" t="s">
        <v>32</v>
      </c>
      <c r="B45" s="1286" t="s">
        <v>37</v>
      </c>
      <c r="C45" s="335">
        <v>4</v>
      </c>
      <c r="D45" s="335">
        <v>232011.10942606299</v>
      </c>
      <c r="E45" s="335">
        <v>13</v>
      </c>
      <c r="F45" s="335">
        <v>3183517.3822909701</v>
      </c>
    </row>
    <row r="46" spans="1:6">
      <c r="A46" s="1286" t="s">
        <v>32</v>
      </c>
      <c r="B46" s="1286" t="s">
        <v>38</v>
      </c>
      <c r="C46" s="335">
        <v>0</v>
      </c>
      <c r="D46" s="335">
        <v>0</v>
      </c>
      <c r="E46" s="335">
        <v>0</v>
      </c>
      <c r="F46" s="335">
        <v>0</v>
      </c>
    </row>
    <row r="47" spans="1:6">
      <c r="A47" s="1286" t="s">
        <v>32</v>
      </c>
      <c r="B47" s="1286" t="s">
        <v>39</v>
      </c>
      <c r="C47" s="335">
        <v>8</v>
      </c>
      <c r="D47" s="335">
        <v>764605.27224290895</v>
      </c>
      <c r="E47" s="335">
        <v>12</v>
      </c>
      <c r="F47" s="335">
        <v>1282353.4139334899</v>
      </c>
    </row>
    <row r="48" spans="1:6">
      <c r="A48" s="1286" t="s">
        <v>32</v>
      </c>
      <c r="B48" s="1286" t="s">
        <v>29</v>
      </c>
      <c r="C48" s="335">
        <v>37</v>
      </c>
      <c r="D48" s="335">
        <v>53958726.383332796</v>
      </c>
      <c r="E48" s="335">
        <v>51</v>
      </c>
      <c r="F48" s="335">
        <v>8540475.3225698806</v>
      </c>
    </row>
    <row r="49" spans="1:6">
      <c r="A49" s="1286" t="s">
        <v>32</v>
      </c>
      <c r="B49" s="1286" t="s">
        <v>40</v>
      </c>
      <c r="C49" s="335">
        <v>4</v>
      </c>
      <c r="D49" s="335">
        <v>22161751.954252601</v>
      </c>
      <c r="E49" s="335">
        <v>21</v>
      </c>
      <c r="F49" s="335">
        <v>14107149.3107558</v>
      </c>
    </row>
    <row r="50" spans="1:6">
      <c r="A50" s="1286" t="s">
        <v>32</v>
      </c>
      <c r="B50" s="1286" t="s">
        <v>41</v>
      </c>
      <c r="C50" s="335">
        <v>15</v>
      </c>
      <c r="D50" s="335">
        <v>7931872.7715282002</v>
      </c>
      <c r="E50" s="335">
        <v>38</v>
      </c>
      <c r="F50" s="335">
        <v>41363020.445572898</v>
      </c>
    </row>
    <row r="51" spans="1:6">
      <c r="A51" s="1286" t="s">
        <v>42</v>
      </c>
      <c r="B51" s="1286" t="s">
        <v>43</v>
      </c>
      <c r="C51" s="335">
        <v>3</v>
      </c>
      <c r="D51" s="335">
        <v>44092.289405045703</v>
      </c>
      <c r="E51" s="335">
        <v>196</v>
      </c>
      <c r="F51" s="335">
        <v>4263339.0490811896</v>
      </c>
    </row>
    <row r="52" spans="1:6">
      <c r="A52" s="1286" t="s">
        <v>42</v>
      </c>
      <c r="B52" s="1286" t="s">
        <v>29</v>
      </c>
      <c r="C52" s="335">
        <v>7</v>
      </c>
      <c r="D52" s="335">
        <v>28394069.5383031</v>
      </c>
      <c r="E52" s="335">
        <v>4</v>
      </c>
      <c r="F52" s="335">
        <v>148923.465700587</v>
      </c>
    </row>
    <row r="53" spans="1:6">
      <c r="A53" s="1286" t="s">
        <v>44</v>
      </c>
      <c r="B53" s="1286" t="s">
        <v>45</v>
      </c>
      <c r="C53" s="335">
        <v>142</v>
      </c>
      <c r="D53" s="335">
        <v>4232150.52532141</v>
      </c>
      <c r="E53" s="335">
        <v>363</v>
      </c>
      <c r="F53" s="335">
        <v>2146921.98670256</v>
      </c>
    </row>
    <row r="54" spans="1:6">
      <c r="A54" s="1286" t="s">
        <v>46</v>
      </c>
      <c r="B54" s="1286" t="s">
        <v>47</v>
      </c>
      <c r="C54" s="335">
        <v>0</v>
      </c>
      <c r="D54" s="335">
        <v>0</v>
      </c>
      <c r="E54" s="335">
        <v>3</v>
      </c>
      <c r="F54" s="335">
        <v>2691448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81</v>
      </c>
      <c r="D57" s="335">
        <v>7225059.2856257902</v>
      </c>
      <c r="E57" s="335">
        <v>152</v>
      </c>
      <c r="F57" s="335">
        <v>3963981.2958776499</v>
      </c>
    </row>
    <row r="58" spans="1:6">
      <c r="A58" s="1286" t="s">
        <v>49</v>
      </c>
      <c r="B58" s="1286" t="s">
        <v>51</v>
      </c>
      <c r="C58" s="335">
        <v>55</v>
      </c>
      <c r="D58" s="335">
        <v>7443647.6111680996</v>
      </c>
      <c r="E58" s="335">
        <v>82</v>
      </c>
      <c r="F58" s="335">
        <v>6340972.45973494</v>
      </c>
    </row>
    <row r="59" spans="1:6">
      <c r="A59" s="1286" t="s">
        <v>49</v>
      </c>
      <c r="B59" s="1286" t="s">
        <v>52</v>
      </c>
      <c r="C59" s="335">
        <v>205</v>
      </c>
      <c r="D59" s="335">
        <v>9565518.1241861992</v>
      </c>
      <c r="E59" s="335">
        <v>536</v>
      </c>
      <c r="F59" s="335">
        <v>20234031.346488498</v>
      </c>
    </row>
    <row r="60" spans="1:6">
      <c r="A60" s="1286" t="s">
        <v>49</v>
      </c>
      <c r="B60" s="1286" t="s">
        <v>53</v>
      </c>
      <c r="C60" s="335">
        <v>95</v>
      </c>
      <c r="D60" s="335">
        <v>3725423.0991691002</v>
      </c>
      <c r="E60" s="335">
        <v>156</v>
      </c>
      <c r="F60" s="335">
        <v>3712762.3247469198</v>
      </c>
    </row>
    <row r="61" spans="1:6">
      <c r="A61" s="1286" t="s">
        <v>49</v>
      </c>
      <c r="B61" s="1286" t="s">
        <v>54</v>
      </c>
      <c r="C61" s="335">
        <v>282</v>
      </c>
      <c r="D61" s="335">
        <v>13026508.4120418</v>
      </c>
      <c r="E61" s="335">
        <v>672</v>
      </c>
      <c r="F61" s="335">
        <v>7729248.6154855499</v>
      </c>
    </row>
    <row r="62" spans="1:6">
      <c r="A62" s="1286" t="s">
        <v>49</v>
      </c>
      <c r="B62" s="1286" t="s">
        <v>55</v>
      </c>
      <c r="C62" s="335">
        <v>13</v>
      </c>
      <c r="D62" s="335">
        <v>1941706.83957608</v>
      </c>
      <c r="E62" s="335">
        <v>29</v>
      </c>
      <c r="F62" s="335">
        <v>1249752.14988502</v>
      </c>
    </row>
    <row r="63" spans="1:6">
      <c r="A63" s="1286" t="s">
        <v>49</v>
      </c>
      <c r="B63" s="1286" t="s">
        <v>29</v>
      </c>
      <c r="C63" s="335">
        <v>101</v>
      </c>
      <c r="D63" s="335">
        <v>7442508.36253714</v>
      </c>
      <c r="E63" s="335">
        <v>97</v>
      </c>
      <c r="F63" s="335">
        <v>3597544.6151751298</v>
      </c>
    </row>
    <row r="64" spans="1:6">
      <c r="A64" s="1286" t="s">
        <v>56</v>
      </c>
      <c r="B64" s="1286" t="s">
        <v>57</v>
      </c>
      <c r="C64" s="335">
        <v>0</v>
      </c>
      <c r="D64" s="335">
        <v>0</v>
      </c>
      <c r="E64" s="335">
        <v>0</v>
      </c>
      <c r="F64" s="335">
        <v>0</v>
      </c>
    </row>
    <row r="65" spans="1:6">
      <c r="A65" s="1286" t="s">
        <v>56</v>
      </c>
      <c r="B65" s="1286" t="s">
        <v>29</v>
      </c>
      <c r="C65" s="335">
        <v>2</v>
      </c>
      <c r="D65" s="335">
        <v>51135.759981052397</v>
      </c>
      <c r="E65" s="335">
        <v>3</v>
      </c>
      <c r="F65" s="335">
        <v>10766.704034140201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1529312.45285898</v>
      </c>
      <c r="E68" s="335">
        <v>19</v>
      </c>
      <c r="F68" s="335">
        <v>795301.41928593803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122833084</v>
      </c>
      <c r="E73" s="335">
        <v>125412089.49022633</v>
      </c>
    </row>
    <row r="74" spans="1:6">
      <c r="A74" s="1286" t="s">
        <v>64</v>
      </c>
      <c r="B74" s="1286" t="s">
        <v>772</v>
      </c>
      <c r="C74" s="1297" t="s">
        <v>766</v>
      </c>
      <c r="D74" s="335">
        <v>13613749.650111191</v>
      </c>
      <c r="E74" s="335">
        <v>14189101.587460106</v>
      </c>
    </row>
    <row r="75" spans="1:6">
      <c r="A75" s="1286" t="s">
        <v>65</v>
      </c>
      <c r="B75" s="1286" t="s">
        <v>771</v>
      </c>
      <c r="C75" s="1297" t="s">
        <v>767</v>
      </c>
      <c r="D75" s="335">
        <v>31924108</v>
      </c>
      <c r="E75" s="335">
        <v>32440603.979780994</v>
      </c>
    </row>
    <row r="76" spans="1:6">
      <c r="A76" s="1286" t="s">
        <v>65</v>
      </c>
      <c r="B76" s="1286" t="s">
        <v>772</v>
      </c>
      <c r="C76" s="1297" t="s">
        <v>768</v>
      </c>
      <c r="D76" s="335">
        <v>1528448.6501111917</v>
      </c>
      <c r="E76" s="335">
        <v>1605690.0850355516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598354.69977761677</v>
      </c>
      <c r="C83" s="335">
        <v>574704.25658088876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4731.9903404035722</v>
      </c>
    </row>
    <row r="92" spans="1:6">
      <c r="A92" s="1282" t="s">
        <v>69</v>
      </c>
      <c r="B92" s="338">
        <v>3573.2465941958881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3409</v>
      </c>
    </row>
    <row r="98" spans="1:6">
      <c r="A98" s="1286" t="s">
        <v>72</v>
      </c>
      <c r="B98" s="335">
        <v>2</v>
      </c>
    </row>
    <row r="99" spans="1:6">
      <c r="A99" s="1286" t="s">
        <v>73</v>
      </c>
      <c r="B99" s="335">
        <v>265</v>
      </c>
    </row>
    <row r="100" spans="1:6">
      <c r="A100" s="1286" t="s">
        <v>74</v>
      </c>
      <c r="B100" s="335">
        <v>1431</v>
      </c>
    </row>
    <row r="101" spans="1:6">
      <c r="A101" s="1286" t="s">
        <v>75</v>
      </c>
      <c r="B101" s="335">
        <v>184</v>
      </c>
    </row>
    <row r="102" spans="1:6">
      <c r="A102" s="1286" t="s">
        <v>76</v>
      </c>
      <c r="B102" s="335">
        <v>208</v>
      </c>
    </row>
    <row r="103" spans="1:6">
      <c r="A103" s="1286" t="s">
        <v>77</v>
      </c>
      <c r="B103" s="335">
        <v>358</v>
      </c>
    </row>
    <row r="104" spans="1:6">
      <c r="A104" s="1286" t="s">
        <v>78</v>
      </c>
      <c r="B104" s="335">
        <v>4923</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22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127</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202242.66247945654</v>
      </c>
      <c r="C3" s="44" t="s">
        <v>170</v>
      </c>
      <c r="D3" s="44"/>
      <c r="E3" s="157"/>
      <c r="F3" s="44"/>
      <c r="G3" s="44"/>
      <c r="H3" s="44"/>
      <c r="I3" s="44"/>
      <c r="J3" s="44"/>
      <c r="K3" s="97"/>
    </row>
    <row r="4" spans="1:11">
      <c r="A4" s="365" t="s">
        <v>171</v>
      </c>
      <c r="B4" s="50">
        <f>IF(ISERROR('SEAP template'!B78+'SEAP template'!C78),0,'SEAP template'!B78+'SEAP template'!C78)</f>
        <v>42545.736934599459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2140.9050517089463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0.1850941099083129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3059.4406625767692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48931.071428571428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6.2525519537067115E-2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2691.4479999999999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2691.4479999999999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0.1850941099083129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498.17117192450894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54751.370040899201</v>
      </c>
      <c r="C5" s="18">
        <f>IF(ISERROR('Eigen informatie GS &amp; warmtenet'!B57),0,'Eigen informatie GS &amp; warmtenet'!B57)</f>
        <v>0</v>
      </c>
      <c r="D5" s="31">
        <f>(SUM(HH_hh_gas_kWh,HH_rest_gas_kWh)/1000)*0.902</f>
        <v>93442.520286563173</v>
      </c>
      <c r="E5" s="18">
        <f>B46*B57</f>
        <v>11415.280995824403</v>
      </c>
      <c r="F5" s="18">
        <f>B51*B62</f>
        <v>42407.193419427342</v>
      </c>
      <c r="G5" s="19"/>
      <c r="H5" s="18"/>
      <c r="I5" s="18"/>
      <c r="J5" s="18">
        <f>B50*B61+C50*C61</f>
        <v>1568.3838354290508</v>
      </c>
      <c r="K5" s="18"/>
      <c r="L5" s="18"/>
      <c r="M5" s="18"/>
      <c r="N5" s="18">
        <f>B48*B59+C48*C59</f>
        <v>25740.287303135552</v>
      </c>
      <c r="O5" s="18">
        <f>B69*B70*B71</f>
        <v>232.9366666666667</v>
      </c>
      <c r="P5" s="18">
        <f>B77*B78*B79/1000-B77*B78*B79/1000/B80</f>
        <v>514.79999999999995</v>
      </c>
    </row>
    <row r="6" spans="1:16">
      <c r="A6" s="17" t="s">
        <v>639</v>
      </c>
      <c r="B6" s="780">
        <f>kWh_PV_kleiner_dan_10kW</f>
        <v>4731.9903404035722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59483.360381302773</v>
      </c>
      <c r="C8" s="22">
        <f>C5</f>
        <v>0</v>
      </c>
      <c r="D8" s="22">
        <f>D5</f>
        <v>93442.520286563173</v>
      </c>
      <c r="E8" s="22">
        <f>E5</f>
        <v>11415.280995824403</v>
      </c>
      <c r="F8" s="22">
        <f>F5</f>
        <v>42407.193419427342</v>
      </c>
      <c r="G8" s="22"/>
      <c r="H8" s="22"/>
      <c r="I8" s="22"/>
      <c r="J8" s="22">
        <f>J5</f>
        <v>1568.3838354290508</v>
      </c>
      <c r="K8" s="22"/>
      <c r="L8" s="22">
        <f>L5</f>
        <v>0</v>
      </c>
      <c r="M8" s="22">
        <f>M5</f>
        <v>0</v>
      </c>
      <c r="N8" s="22">
        <f>N5</f>
        <v>25740.287303135552</v>
      </c>
      <c r="O8" s="22">
        <f>O5</f>
        <v>232.9366666666667</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0.1850941099083129</v>
      </c>
      <c r="C10" s="26">
        <f ca="1">'EF ele_warmte'!B22</f>
        <v>6.2525519537067115E-2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11010.019644132641</v>
      </c>
      <c r="C12" s="24">
        <f ca="1">C10*C8</f>
        <v>0</v>
      </c>
      <c r="D12" s="24">
        <f>D8*D10</f>
        <v>18875.389097885763</v>
      </c>
      <c r="E12" s="24">
        <f>E10*E8</f>
        <v>2591.2687860521396</v>
      </c>
      <c r="F12" s="24">
        <f>F10*F8</f>
        <v>11322.7206429871</v>
      </c>
      <c r="G12" s="24"/>
      <c r="H12" s="24"/>
      <c r="I12" s="24"/>
      <c r="J12" s="24">
        <f>J10*J8</f>
        <v>555.20787774188398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3409</v>
      </c>
      <c r="C18" s="169" t="s">
        <v>111</v>
      </c>
      <c r="D18" s="231"/>
      <c r="E18" s="16"/>
    </row>
    <row r="19" spans="1:7">
      <c r="A19" s="174" t="s">
        <v>72</v>
      </c>
      <c r="B19" s="38">
        <f>aantalw2001_ander</f>
        <v>2</v>
      </c>
      <c r="C19" s="169" t="s">
        <v>111</v>
      </c>
      <c r="D19" s="232"/>
      <c r="E19" s="16"/>
    </row>
    <row r="20" spans="1:7">
      <c r="A20" s="174" t="s">
        <v>73</v>
      </c>
      <c r="B20" s="38">
        <f>aantalw2001_propaan</f>
        <v>265</v>
      </c>
      <c r="C20" s="170">
        <f>IF(ISERROR(B20/SUM($B$20,$B$21,$B$22)*100),0,B20/SUM($B$20,$B$21,$B$22)*100)</f>
        <v>14.095744680851062</v>
      </c>
      <c r="D20" s="232"/>
      <c r="E20" s="16"/>
    </row>
    <row r="21" spans="1:7">
      <c r="A21" s="174" t="s">
        <v>74</v>
      </c>
      <c r="B21" s="38">
        <f>aantalw2001_elektriciteit</f>
        <v>1431</v>
      </c>
      <c r="C21" s="170">
        <f>IF(ISERROR(B21/SUM($B$20,$B$21,$B$22)*100),0,B21/SUM($B$20,$B$21,$B$22)*100)</f>
        <v>76.117021276595736</v>
      </c>
      <c r="D21" s="232"/>
      <c r="E21" s="16"/>
    </row>
    <row r="22" spans="1:7">
      <c r="A22" s="174" t="s">
        <v>75</v>
      </c>
      <c r="B22" s="38">
        <f>aantalw2001_hout</f>
        <v>184</v>
      </c>
      <c r="C22" s="170">
        <f>IF(ISERROR(B22/SUM($B$20,$B$21,$B$22)*100),0,B22/SUM($B$20,$B$21,$B$22)*100)</f>
        <v>9.787234042553191</v>
      </c>
      <c r="D22" s="232"/>
      <c r="E22" s="16"/>
    </row>
    <row r="23" spans="1:7">
      <c r="A23" s="174" t="s">
        <v>76</v>
      </c>
      <c r="B23" s="38">
        <f>aantalw2001_niet_gespec</f>
        <v>208</v>
      </c>
      <c r="C23" s="169" t="s">
        <v>111</v>
      </c>
      <c r="D23" s="231"/>
      <c r="E23" s="16"/>
    </row>
    <row r="24" spans="1:7">
      <c r="A24" s="174" t="s">
        <v>77</v>
      </c>
      <c r="B24" s="38">
        <f>aantalw2001_steenkool</f>
        <v>358</v>
      </c>
      <c r="C24" s="169" t="s">
        <v>111</v>
      </c>
      <c r="D24" s="232"/>
      <c r="E24" s="16"/>
    </row>
    <row r="25" spans="1:7">
      <c r="A25" s="174" t="s">
        <v>78</v>
      </c>
      <c r="B25" s="38">
        <f>aantalw2001_stookolie</f>
        <v>4923</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12392</v>
      </c>
      <c r="C28" s="37"/>
      <c r="D28" s="231"/>
    </row>
    <row r="29" spans="1:7" s="16" customFormat="1">
      <c r="A29" s="233" t="s">
        <v>666</v>
      </c>
      <c r="B29" s="38">
        <f>SUM(HH_hh_gas_aantal,HH_rest_gas_aantal)</f>
        <v>6492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6492</v>
      </c>
      <c r="C32" s="170">
        <f>IF(ISERROR(B32/SUM($B$32,$B$34,$B$35,$B$36,$B$38,$B$39)*100),0,B32/SUM($B$32,$B$34,$B$35,$B$36,$B$38,$B$39)*100)</f>
        <v>52.503032753740399</v>
      </c>
      <c r="D32" s="236"/>
      <c r="G32" s="16"/>
    </row>
    <row r="33" spans="1:7">
      <c r="A33" s="174" t="s">
        <v>72</v>
      </c>
      <c r="B33" s="35" t="s">
        <v>111</v>
      </c>
      <c r="C33" s="170"/>
      <c r="D33" s="236"/>
      <c r="G33" s="16"/>
    </row>
    <row r="34" spans="1:7">
      <c r="A34" s="174" t="s">
        <v>73</v>
      </c>
      <c r="B34" s="34">
        <f>IF((($B$28-$B$32-$B$39-$B$77-$B$38)*C20/100)&lt;0,0,($B$28-$B$32-$B$39-$B$77-$B$38)*C20/100)</f>
        <v>518.01861702127655</v>
      </c>
      <c r="C34" s="170">
        <f>IF(ISERROR(B34/SUM($B$32,$B$34,$B$35,$B$36,$B$38,$B$39)*100),0,B34/SUM($B$32,$B$34,$B$35,$B$36,$B$38,$B$39)*100)</f>
        <v>4.1893943956431583</v>
      </c>
      <c r="D34" s="236"/>
      <c r="G34" s="16"/>
    </row>
    <row r="35" spans="1:7">
      <c r="A35" s="174" t="s">
        <v>74</v>
      </c>
      <c r="B35" s="34">
        <f>IF((($B$28-$B$32-$B$39-$B$77-$B$38)*C21/100)&lt;0,0,($B$28-$B$32-$B$39-$B$77-$B$38)*C21/100)</f>
        <v>2797.3005319148938</v>
      </c>
      <c r="C35" s="170">
        <f>IF(ISERROR(B35/SUM($B$32,$B$34,$B$35,$B$36,$B$38,$B$39)*100),0,B35/SUM($B$32,$B$34,$B$35,$B$36,$B$38,$B$39)*100)</f>
        <v>22.622729736473062</v>
      </c>
      <c r="D35" s="236"/>
      <c r="G35" s="16"/>
    </row>
    <row r="36" spans="1:7">
      <c r="A36" s="174" t="s">
        <v>75</v>
      </c>
      <c r="B36" s="34">
        <f>IF((($B$28-$B$32-$B$39-$B$77-$B$38)*C22/100)&lt;0,0,($B$28-$B$32-$B$39-$B$77-$B$38)*C22/100)</f>
        <v>359.68085106382983</v>
      </c>
      <c r="C36" s="170">
        <f>IF(ISERROR(B36/SUM($B$32,$B$34,$B$35,$B$36,$B$38,$B$39)*100),0,B36/SUM($B$32,$B$34,$B$35,$B$36,$B$38,$B$39)*100)</f>
        <v>2.908862523767326</v>
      </c>
      <c r="D36" s="236"/>
      <c r="G36" s="16"/>
    </row>
    <row r="37" spans="1:7">
      <c r="A37" s="174" t="s">
        <v>76</v>
      </c>
      <c r="B37" s="35" t="s">
        <v>111</v>
      </c>
      <c r="C37" s="170"/>
      <c r="D37" s="176"/>
      <c r="G37" s="16"/>
    </row>
    <row r="38" spans="1:7">
      <c r="A38" s="174" t="s">
        <v>77</v>
      </c>
      <c r="B38" s="34">
        <f>IF((B24-(B29-B18)*0.1)&lt;0,0,B24-(B29-B18)*0.1)</f>
        <v>49.699999999999989</v>
      </c>
      <c r="C38" s="170">
        <f>IF(ISERROR(B38/SUM($B$32,$B$34,$B$35,$B$36,$B$38,$B$39)*100),0,B38/SUM($B$32,$B$34,$B$35,$B$36,$B$38,$B$39)*100)</f>
        <v>0.40194096239385352</v>
      </c>
      <c r="D38" s="237"/>
      <c r="G38" s="16"/>
    </row>
    <row r="39" spans="1:7">
      <c r="A39" s="174" t="s">
        <v>78</v>
      </c>
      <c r="B39" s="34">
        <f>IF((B25-(B29-B18))&lt;0,0,B25-(B29-B18)*0.9)</f>
        <v>2148.2999999999997</v>
      </c>
      <c r="C39" s="170">
        <f>IF(ISERROR(B39/SUM($B$32,$B$34,$B$35,$B$36,$B$38,$B$39)*100),0,B39/SUM($B$32,$B$34,$B$35,$B$36,$B$38,$B$39)*100)</f>
        <v>17.374039627982203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6492</v>
      </c>
      <c r="C44" s="35" t="s">
        <v>111</v>
      </c>
      <c r="D44" s="177"/>
    </row>
    <row r="45" spans="1:7">
      <c r="A45" s="174" t="s">
        <v>72</v>
      </c>
      <c r="B45" s="34" t="str">
        <f t="shared" si="0"/>
        <v>-</v>
      </c>
      <c r="C45" s="35" t="s">
        <v>111</v>
      </c>
      <c r="D45" s="177"/>
    </row>
    <row r="46" spans="1:7">
      <c r="A46" s="174" t="s">
        <v>73</v>
      </c>
      <c r="B46" s="34">
        <f t="shared" si="0"/>
        <v>518.01861702127655</v>
      </c>
      <c r="C46" s="35" t="s">
        <v>111</v>
      </c>
      <c r="D46" s="177"/>
    </row>
    <row r="47" spans="1:7">
      <c r="A47" s="174" t="s">
        <v>74</v>
      </c>
      <c r="B47" s="34">
        <f t="shared" si="0"/>
        <v>2797.3005319148938</v>
      </c>
      <c r="C47" s="35" t="s">
        <v>111</v>
      </c>
      <c r="D47" s="177"/>
    </row>
    <row r="48" spans="1:7">
      <c r="A48" s="174" t="s">
        <v>75</v>
      </c>
      <c r="B48" s="34">
        <f t="shared" si="0"/>
        <v>359.68085106382983</v>
      </c>
      <c r="C48" s="34">
        <f>B48*10</f>
        <v>3596.8085106382982</v>
      </c>
      <c r="D48" s="237"/>
    </row>
    <row r="49" spans="1:6">
      <c r="A49" s="174" t="s">
        <v>76</v>
      </c>
      <c r="B49" s="34" t="str">
        <f t="shared" si="0"/>
        <v>-</v>
      </c>
      <c r="C49" s="35" t="s">
        <v>111</v>
      </c>
      <c r="D49" s="237"/>
    </row>
    <row r="50" spans="1:6">
      <c r="A50" s="174" t="s">
        <v>77</v>
      </c>
      <c r="B50" s="34">
        <f t="shared" si="0"/>
        <v>49.699999999999989</v>
      </c>
      <c r="C50" s="34">
        <f>B50*2</f>
        <v>99.399999999999977</v>
      </c>
      <c r="D50" s="237"/>
    </row>
    <row r="51" spans="1:6">
      <c r="A51" s="174" t="s">
        <v>78</v>
      </c>
      <c r="B51" s="34">
        <f t="shared" si="0"/>
        <v>2148.2999999999997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46828.292807393707</v>
      </c>
      <c r="C5" s="18">
        <f>IF(ISERROR('Eigen informatie GS &amp; warmtenet'!B58),0,'Eigen informatie GS &amp; warmtenet'!B58)</f>
        <v>0</v>
      </c>
      <c r="D5" s="31">
        <f>SUM(D6:D12)</f>
        <v>45434.075304342397</v>
      </c>
      <c r="E5" s="18">
        <f>SUM(E6:E12)</f>
        <v>384.88111742994892</v>
      </c>
      <c r="F5" s="18">
        <f>SUM(F6:F12)</f>
        <v>10443.473179211522</v>
      </c>
      <c r="G5" s="19"/>
      <c r="H5" s="18"/>
      <c r="I5" s="18"/>
      <c r="J5" s="18">
        <f>SUM(J6:J12)</f>
        <v>0</v>
      </c>
      <c r="K5" s="18"/>
      <c r="L5" s="18"/>
      <c r="M5" s="18"/>
      <c r="N5" s="18">
        <f>SUM(N6:N12)</f>
        <v>2684.5896797695191</v>
      </c>
      <c r="O5" s="18">
        <f>B38*B39*B40</f>
        <v>0</v>
      </c>
      <c r="P5" s="18">
        <f>B46*B47*B48/1000-B46*B47*B48/1000/B49</f>
        <v>0</v>
      </c>
      <c r="R5" s="33"/>
    </row>
    <row r="6" spans="1:18">
      <c r="A6" s="33" t="s">
        <v>54</v>
      </c>
      <c r="B6" s="38">
        <f>B26</f>
        <v>7729.2486154855496</v>
      </c>
      <c r="C6" s="34"/>
      <c r="D6" s="38">
        <f>IF(ISERROR(TER_kantoor_gas_kWh/1000),0,TER_kantoor_gas_kWh/1000)*0.902</f>
        <v>11749.910587661703</v>
      </c>
      <c r="E6" s="34">
        <f>$C$26*'E Balans VL '!I12/100/3.6*1000000</f>
        <v>12.685263510036904</v>
      </c>
      <c r="F6" s="34">
        <f>$C$26*('E Balans VL '!L12+'E Balans VL '!N12)/100/3.6*1000000</f>
        <v>911.09655242161273</v>
      </c>
      <c r="G6" s="35"/>
      <c r="H6" s="34"/>
      <c r="I6" s="34"/>
      <c r="J6" s="34">
        <f>$C$26*('E Balans VL '!D12+'E Balans VL '!E12)/100/3.6*1000000</f>
        <v>0</v>
      </c>
      <c r="K6" s="34"/>
      <c r="L6" s="34"/>
      <c r="M6" s="34"/>
      <c r="N6" s="34">
        <f>$C$26*'E Balans VL '!Y12/100/3.6*1000000</f>
        <v>1.5616580817702332</v>
      </c>
      <c r="O6" s="34"/>
      <c r="P6" s="34"/>
      <c r="R6" s="33"/>
    </row>
    <row r="7" spans="1:18">
      <c r="A7" s="33" t="s">
        <v>53</v>
      </c>
      <c r="B7" s="38">
        <f t="shared" ref="B7:B12" si="0">B27</f>
        <v>3712.7623247469196</v>
      </c>
      <c r="C7" s="34"/>
      <c r="D7" s="38">
        <f>IF(ISERROR(TER_horeca_gas_kWh/1000),0,TER_horeca_gas_kWh/1000)*0.902</f>
        <v>3360.3316354505287</v>
      </c>
      <c r="E7" s="34">
        <f>$C$27*'E Balans VL '!I9/100/3.6*1000000</f>
        <v>192.66549853126966</v>
      </c>
      <c r="F7" s="34">
        <f>$C$27*('E Balans VL '!L9+'E Balans VL '!N9)/100/3.6*1000000</f>
        <v>847.25505650094203</v>
      </c>
      <c r="G7" s="35"/>
      <c r="H7" s="34"/>
      <c r="I7" s="34"/>
      <c r="J7" s="34">
        <f>$C$27*('E Balans VL '!D9+'E Balans VL '!E9)/100/3.6*1000000</f>
        <v>0</v>
      </c>
      <c r="K7" s="34"/>
      <c r="L7" s="34"/>
      <c r="M7" s="34"/>
      <c r="N7" s="34">
        <f>$C$27*'E Balans VL '!Y9/100/3.6*1000000</f>
        <v>0.39206600004570974</v>
      </c>
      <c r="O7" s="34"/>
      <c r="P7" s="34"/>
      <c r="R7" s="33"/>
    </row>
    <row r="8" spans="1:18">
      <c r="A8" s="6" t="s">
        <v>52</v>
      </c>
      <c r="B8" s="38">
        <f t="shared" si="0"/>
        <v>20234.031346488497</v>
      </c>
      <c r="C8" s="34"/>
      <c r="D8" s="38">
        <f>IF(ISERROR(TER_handel_gas_kWh/1000),0,TER_handel_gas_kWh/1000)*0.902</f>
        <v>8628.0973480159519</v>
      </c>
      <c r="E8" s="34">
        <f>$C$28*'E Balans VL '!I13/100/3.6*1000000</f>
        <v>108.96274523281953</v>
      </c>
      <c r="F8" s="34">
        <f>$C$28*('E Balans VL '!L13+'E Balans VL '!N13)/100/3.6*1000000</f>
        <v>4126.3202928033643</v>
      </c>
      <c r="G8" s="35"/>
      <c r="H8" s="34"/>
      <c r="I8" s="34"/>
      <c r="J8" s="34">
        <f>$C$28*('E Balans VL '!D13+'E Balans VL '!E13)/100/3.6*1000000</f>
        <v>0</v>
      </c>
      <c r="K8" s="34"/>
      <c r="L8" s="34"/>
      <c r="M8" s="34"/>
      <c r="N8" s="34">
        <f>$C$28*'E Balans VL '!Y13/100/3.6*1000000</f>
        <v>100.61315260027287</v>
      </c>
      <c r="O8" s="34"/>
      <c r="P8" s="34"/>
      <c r="R8" s="33"/>
    </row>
    <row r="9" spans="1:18">
      <c r="A9" s="33" t="s">
        <v>51</v>
      </c>
      <c r="B9" s="38">
        <f t="shared" si="0"/>
        <v>6340.9724597349395</v>
      </c>
      <c r="C9" s="34"/>
      <c r="D9" s="38">
        <f>IF(ISERROR(TER_gezond_gas_kWh/1000),0,TER_gezond_gas_kWh/1000)*0.902</f>
        <v>6714.1701452736261</v>
      </c>
      <c r="E9" s="34">
        <f>$C$29*'E Balans VL '!I10/100/3.6*1000000</f>
        <v>6.283975816837704</v>
      </c>
      <c r="F9" s="34">
        <f>$C$29*('E Balans VL '!L10+'E Balans VL '!N10)/100/3.6*1000000</f>
        <v>2200.134672008784</v>
      </c>
      <c r="G9" s="35"/>
      <c r="H9" s="34"/>
      <c r="I9" s="34"/>
      <c r="J9" s="34">
        <f>$C$29*('E Balans VL '!D10+'E Balans VL '!E10)/100/3.6*1000000</f>
        <v>0</v>
      </c>
      <c r="K9" s="34"/>
      <c r="L9" s="34"/>
      <c r="M9" s="34"/>
      <c r="N9" s="34">
        <f>$C$29*'E Balans VL '!Y10/100/3.6*1000000</f>
        <v>54.639610369725375</v>
      </c>
      <c r="O9" s="34"/>
      <c r="P9" s="34"/>
      <c r="R9" s="33"/>
    </row>
    <row r="10" spans="1:18">
      <c r="A10" s="33" t="s">
        <v>50</v>
      </c>
      <c r="B10" s="38">
        <f t="shared" si="0"/>
        <v>3963.9812958776497</v>
      </c>
      <c r="C10" s="34"/>
      <c r="D10" s="38">
        <f>IF(ISERROR(TER_ander_gas_kWh/1000),0,TER_ander_gas_kWh/1000)*0.902</f>
        <v>6517.003475634463</v>
      </c>
      <c r="E10" s="34">
        <f>$C$30*'E Balans VL '!I14/100/3.6*1000000</f>
        <v>32.429328717439475</v>
      </c>
      <c r="F10" s="34">
        <f>$C$30*('E Balans VL '!L14+'E Balans VL '!N14)/100/3.6*1000000</f>
        <v>1158.9067505522598</v>
      </c>
      <c r="G10" s="35"/>
      <c r="H10" s="34"/>
      <c r="I10" s="34"/>
      <c r="J10" s="34">
        <f>$C$30*('E Balans VL '!D14+'E Balans VL '!E14)/100/3.6*1000000</f>
        <v>0</v>
      </c>
      <c r="K10" s="34"/>
      <c r="L10" s="34"/>
      <c r="M10" s="34"/>
      <c r="N10" s="34">
        <f>$C$30*'E Balans VL '!Y14/100/3.6*1000000</f>
        <v>2286.6970894282863</v>
      </c>
      <c r="O10" s="34"/>
      <c r="P10" s="34"/>
      <c r="R10" s="33"/>
    </row>
    <row r="11" spans="1:18">
      <c r="A11" s="33" t="s">
        <v>55</v>
      </c>
      <c r="B11" s="38">
        <f t="shared" si="0"/>
        <v>1249.7521498850199</v>
      </c>
      <c r="C11" s="34"/>
      <c r="D11" s="38">
        <f>IF(ISERROR(TER_onderwijs_gas_kWh/1000),0,TER_onderwijs_gas_kWh/1000)*0.902</f>
        <v>1751.4195692976243</v>
      </c>
      <c r="E11" s="34">
        <f>$C$31*'E Balans VL '!I11/100/3.6*1000000</f>
        <v>0.77029449291056606</v>
      </c>
      <c r="F11" s="34">
        <f>$C$31*('E Balans VL '!L11+'E Balans VL '!N11)/100/3.6*1000000</f>
        <v>483.1744204683414</v>
      </c>
      <c r="G11" s="35"/>
      <c r="H11" s="34"/>
      <c r="I11" s="34"/>
      <c r="J11" s="34">
        <f>$C$31*('E Balans VL '!D11+'E Balans VL '!E11)/100/3.6*1000000</f>
        <v>0</v>
      </c>
      <c r="K11" s="34"/>
      <c r="L11" s="34"/>
      <c r="M11" s="34"/>
      <c r="N11" s="34">
        <f>$C$31*'E Balans VL '!Y11/100/3.6*1000000</f>
        <v>4.0651759274085109</v>
      </c>
      <c r="O11" s="34"/>
      <c r="P11" s="34"/>
      <c r="R11" s="33"/>
    </row>
    <row r="12" spans="1:18">
      <c r="A12" s="33" t="s">
        <v>260</v>
      </c>
      <c r="B12" s="38">
        <f t="shared" si="0"/>
        <v>3597.5446151751298</v>
      </c>
      <c r="C12" s="34"/>
      <c r="D12" s="38">
        <f>IF(ISERROR(TER_rest_gas_kWh/1000),0,TER_rest_gas_kWh/1000)*0.902</f>
        <v>6713.1425430085001</v>
      </c>
      <c r="E12" s="34">
        <f>$C$32*'E Balans VL '!I8/100/3.6*1000000</f>
        <v>31.084011128635023</v>
      </c>
      <c r="F12" s="34">
        <f>$C$32*('E Balans VL '!L8+'E Balans VL '!N8)/100/3.6*1000000</f>
        <v>716.58543445621535</v>
      </c>
      <c r="G12" s="35"/>
      <c r="H12" s="34"/>
      <c r="I12" s="34"/>
      <c r="J12" s="34">
        <f>$C$32*('E Balans VL '!D8+'E Balans VL '!E8)/100/3.6*1000000</f>
        <v>0</v>
      </c>
      <c r="K12" s="34"/>
      <c r="L12" s="34"/>
      <c r="M12" s="34"/>
      <c r="N12" s="34">
        <f>$C$32*'E Balans VL '!Y8/100/3.6*1000000</f>
        <v>236.62092736201029</v>
      </c>
      <c r="O12" s="34"/>
      <c r="P12" s="34"/>
      <c r="R12" s="33"/>
    </row>
    <row r="13" spans="1:18">
      <c r="A13" s="17" t="s">
        <v>502</v>
      </c>
      <c r="B13" s="250">
        <f ca="1">'lokale energieproductie'!N91+'lokale energieproductie'!N60</f>
        <v>4.5</v>
      </c>
      <c r="C13" s="250">
        <f ca="1">'lokale energieproductie'!O91+'lokale energieproductie'!O60</f>
        <v>22.5</v>
      </c>
      <c r="D13" s="312">
        <f ca="1">('lokale energieproductie'!P60+'lokale energieproductie'!P91)*(-1)</f>
        <v>-30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46832.792807393707</v>
      </c>
      <c r="C16" s="22">
        <f t="shared" ca="1" si="1"/>
        <v>22.5</v>
      </c>
      <c r="D16" s="22">
        <f t="shared" ca="1" si="1"/>
        <v>45404.075304342397</v>
      </c>
      <c r="E16" s="22">
        <f t="shared" si="1"/>
        <v>384.88111742994892</v>
      </c>
      <c r="F16" s="22">
        <f t="shared" ca="1" si="1"/>
        <v>10443.473179211522</v>
      </c>
      <c r="G16" s="22">
        <f t="shared" si="1"/>
        <v>0</v>
      </c>
      <c r="H16" s="22">
        <f t="shared" si="1"/>
        <v>0</v>
      </c>
      <c r="I16" s="22">
        <f t="shared" si="1"/>
        <v>0</v>
      </c>
      <c r="J16" s="22">
        <f t="shared" si="1"/>
        <v>0</v>
      </c>
      <c r="K16" s="22">
        <f t="shared" si="1"/>
        <v>0</v>
      </c>
      <c r="L16" s="22">
        <f t="shared" ca="1" si="1"/>
        <v>0</v>
      </c>
      <c r="M16" s="22">
        <f t="shared" si="1"/>
        <v>0</v>
      </c>
      <c r="N16" s="22">
        <f t="shared" ca="1" si="1"/>
        <v>2684.5896797695191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0.1850941099083129</v>
      </c>
      <c r="C18" s="26">
        <f ca="1">'EF ele_warmte'!B22</f>
        <v>6.2525519537067115E-2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8668.4740992049774</v>
      </c>
      <c r="C20" s="24">
        <f t="shared" ref="C20:P20" ca="1" si="2">C16*C18</f>
        <v>1.4068241895840101</v>
      </c>
      <c r="D20" s="24">
        <f t="shared" ca="1" si="2"/>
        <v>9171.6232114771647</v>
      </c>
      <c r="E20" s="24">
        <f t="shared" si="2"/>
        <v>87.368013656598407</v>
      </c>
      <c r="F20" s="24">
        <f t="shared" ca="1" si="2"/>
        <v>2788.4073388494767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7729.2486154855496</v>
      </c>
      <c r="C26" s="40">
        <f>IF(ISERROR(B26*3.6/1000000/'E Balans VL '!Z12*100),0,B26*3.6/1000000/'E Balans VL '!Z12*100)</f>
        <v>0.16424099019494129</v>
      </c>
      <c r="D26" s="240" t="s">
        <v>707</v>
      </c>
      <c r="F26" s="6"/>
    </row>
    <row r="27" spans="1:18">
      <c r="A27" s="234" t="s">
        <v>53</v>
      </c>
      <c r="B27" s="34">
        <f>IF(ISERROR(TER_horeca_ele_kWh/1000),0,TER_horeca_ele_kWh/1000)</f>
        <v>3712.7623247469196</v>
      </c>
      <c r="C27" s="40">
        <f>IF(ISERROR(B27*3.6/1000000/'E Balans VL '!Z9*100),0,B27*3.6/1000000/'E Balans VL '!Z9*100)</f>
        <v>0.29222310562413151</v>
      </c>
      <c r="D27" s="240" t="s">
        <v>707</v>
      </c>
      <c r="F27" s="6"/>
    </row>
    <row r="28" spans="1:18">
      <c r="A28" s="174" t="s">
        <v>52</v>
      </c>
      <c r="B28" s="34">
        <f>IF(ISERROR(TER_handel_ele_kWh/1000),0,TER_handel_ele_kWh/1000)</f>
        <v>20234.031346488497</v>
      </c>
      <c r="C28" s="40">
        <f>IF(ISERROR(B28*3.6/1000000/'E Balans VL '!Z13*100),0,B28*3.6/1000000/'E Balans VL '!Z13*100)</f>
        <v>0.56676604684120058</v>
      </c>
      <c r="D28" s="240" t="s">
        <v>707</v>
      </c>
      <c r="F28" s="6"/>
    </row>
    <row r="29" spans="1:18">
      <c r="A29" s="234" t="s">
        <v>51</v>
      </c>
      <c r="B29" s="34">
        <f>IF(ISERROR(TER_gezond_ele_kWh/1000),0,TER_gezond_ele_kWh/1000)</f>
        <v>6340.9724597349395</v>
      </c>
      <c r="C29" s="40">
        <f>IF(ISERROR(B29*3.6/1000000/'E Balans VL '!Z10*100),0,B29*3.6/1000000/'E Balans VL '!Z10*100)</f>
        <v>0.81120212088493693</v>
      </c>
      <c r="D29" s="240" t="s">
        <v>707</v>
      </c>
      <c r="F29" s="6"/>
    </row>
    <row r="30" spans="1:18">
      <c r="A30" s="234" t="s">
        <v>50</v>
      </c>
      <c r="B30" s="34">
        <f>IF(ISERROR(TER_ander_ele_kWh/1000),0,TER_ander_ele_kWh/1000)</f>
        <v>3963.9812958776497</v>
      </c>
      <c r="C30" s="40">
        <f>IF(ISERROR(B30*3.6/1000000/'E Balans VL '!Z14*100),0,B30*3.6/1000000/'E Balans VL '!Z14*100)</f>
        <v>0.29647239984176882</v>
      </c>
      <c r="D30" s="240" t="s">
        <v>707</v>
      </c>
      <c r="F30" s="6"/>
    </row>
    <row r="31" spans="1:18">
      <c r="A31" s="234" t="s">
        <v>55</v>
      </c>
      <c r="B31" s="34">
        <f>IF(ISERROR(TER_onderwijs_ele_kWh/1000),0,TER_onderwijs_ele_kWh/1000)</f>
        <v>1249.7521498850199</v>
      </c>
      <c r="C31" s="40">
        <f>IF(ISERROR(B31*3.6/1000000/'E Balans VL '!Z11*100),0,B31*3.6/1000000/'E Balans VL '!Z11*100)</f>
        <v>0.26388678529104254</v>
      </c>
      <c r="D31" s="240" t="s">
        <v>707</v>
      </c>
    </row>
    <row r="32" spans="1:18">
      <c r="A32" s="234" t="s">
        <v>260</v>
      </c>
      <c r="B32" s="34">
        <f>IF(ISERROR(TER_rest_ele_kWh/1000),0,TER_rest_ele_kWh/1000)</f>
        <v>3597.5446151751298</v>
      </c>
      <c r="C32" s="40">
        <f>IF(ISERROR(B32*3.6/1000000/'E Balans VL '!Z8*100),0,B32*3.6/1000000/'E Balans VL '!Z8*100)</f>
        <v>2.9636328142201004E-2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86672.62069351945</v>
      </c>
      <c r="C5" s="18">
        <f>IF(ISERROR('Eigen informatie GS &amp; warmtenet'!B59),0,'Eigen informatie GS &amp; warmtenet'!B59)</f>
        <v>0</v>
      </c>
      <c r="D5" s="31">
        <f>SUM(D6:D15)</f>
        <v>79817.65347076107</v>
      </c>
      <c r="E5" s="18">
        <f>SUM(E6:E15)</f>
        <v>751.20871077513164</v>
      </c>
      <c r="F5" s="18">
        <f>SUM(F6:F15)</f>
        <v>20169.554174852863</v>
      </c>
      <c r="G5" s="19"/>
      <c r="H5" s="18"/>
      <c r="I5" s="18"/>
      <c r="J5" s="18">
        <f>SUM(J6:J15)</f>
        <v>118.4306394100411</v>
      </c>
      <c r="K5" s="18"/>
      <c r="L5" s="18"/>
      <c r="M5" s="18"/>
      <c r="N5" s="18">
        <f>SUM(N6:N15)</f>
        <v>2638.2586116859429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3224.6021349608</v>
      </c>
      <c r="C8" s="34"/>
      <c r="D8" s="38">
        <f>IF( ISERROR(IND_metaal_Gas_kWH/1000),0,IND_metaal_Gas_kWH/1000)*0.902</f>
        <v>564.64974480208855</v>
      </c>
      <c r="E8" s="34">
        <f>C30*'E Balans VL '!I18/100/3.6*1000000</f>
        <v>29.365870529945148</v>
      </c>
      <c r="F8" s="34">
        <f>C30*'E Balans VL '!L18/100/3.6*1000000+C30*'E Balans VL '!N18/100/3.6*1000000</f>
        <v>425.30053355212112</v>
      </c>
      <c r="G8" s="35"/>
      <c r="H8" s="34"/>
      <c r="I8" s="34"/>
      <c r="J8" s="41">
        <f>C30*'E Balans VL '!D18/100/3.6*1000000+C30*'E Balans VL '!E18/100/3.6*1000000</f>
        <v>52.878793059649261</v>
      </c>
      <c r="K8" s="34"/>
      <c r="L8" s="34"/>
      <c r="M8" s="34"/>
      <c r="N8" s="34">
        <f>C30*'E Balans VL '!Y18/100/3.6*1000000</f>
        <v>11.08167656794809</v>
      </c>
      <c r="O8" s="34"/>
      <c r="P8" s="34"/>
      <c r="R8" s="33"/>
    </row>
    <row r="9" spans="1:18">
      <c r="A9" s="6" t="s">
        <v>33</v>
      </c>
      <c r="B9" s="38">
        <f t="shared" si="0"/>
        <v>14971.502683435599</v>
      </c>
      <c r="C9" s="34"/>
      <c r="D9" s="38">
        <f>IF( ISERROR(IND_andere_gas_kWh/1000),0,IND_andere_gas_kWh/1000)*0.902</f>
        <v>2538.8350492730965</v>
      </c>
      <c r="E9" s="34">
        <f>C31*'E Balans VL '!I19/100/3.6*1000000</f>
        <v>86.537522816279562</v>
      </c>
      <c r="F9" s="34">
        <f>C31*'E Balans VL '!L19/100/3.6*1000000+C31*'E Balans VL '!N19/100/3.6*1000000</f>
        <v>11910.550784874864</v>
      </c>
      <c r="G9" s="35"/>
      <c r="H9" s="34"/>
      <c r="I9" s="34"/>
      <c r="J9" s="41">
        <f>C31*'E Balans VL '!D19/100/3.6*1000000+C31*'E Balans VL '!E19/100/3.6*1000000</f>
        <v>1.4161378551114123</v>
      </c>
      <c r="K9" s="34"/>
      <c r="L9" s="34"/>
      <c r="M9" s="34"/>
      <c r="N9" s="34">
        <f>C31*'E Balans VL '!Y19/100/3.6*1000000</f>
        <v>1134.3178966203566</v>
      </c>
      <c r="O9" s="34"/>
      <c r="P9" s="34"/>
      <c r="R9" s="33"/>
    </row>
    <row r="10" spans="1:18">
      <c r="A10" s="6" t="s">
        <v>41</v>
      </c>
      <c r="B10" s="38">
        <f t="shared" si="0"/>
        <v>41363.020445572896</v>
      </c>
      <c r="C10" s="34"/>
      <c r="D10" s="38">
        <f>IF( ISERROR(IND_voed_gas_kWh/1000),0,IND_voed_gas_kWh/1000)*0.902</f>
        <v>7154.5492399184368</v>
      </c>
      <c r="E10" s="34">
        <f>C32*'E Balans VL '!I20/100/3.6*1000000</f>
        <v>406.70670290030057</v>
      </c>
      <c r="F10" s="34">
        <f>C32*'E Balans VL '!L20/100/3.6*1000000+C32*'E Balans VL '!N20/100/3.6*1000000</f>
        <v>4593.9033172777072</v>
      </c>
      <c r="G10" s="35"/>
      <c r="H10" s="34"/>
      <c r="I10" s="34"/>
      <c r="J10" s="41">
        <f>C32*'E Balans VL '!D20/100/3.6*1000000+C32*'E Balans VL '!E20/100/3.6*1000000</f>
        <v>0.16303044125738872</v>
      </c>
      <c r="K10" s="34"/>
      <c r="L10" s="34"/>
      <c r="M10" s="34"/>
      <c r="N10" s="34">
        <f>C32*'E Balans VL '!Y20/100/3.6*1000000</f>
        <v>612.48903671908795</v>
      </c>
      <c r="O10" s="34"/>
      <c r="P10" s="34"/>
      <c r="R10" s="33"/>
    </row>
    <row r="11" spans="1:18">
      <c r="A11" s="6" t="s">
        <v>40</v>
      </c>
      <c r="B11" s="38">
        <f t="shared" si="0"/>
        <v>14107.1493107558</v>
      </c>
      <c r="C11" s="34"/>
      <c r="D11" s="38">
        <f>IF( ISERROR(IND_textiel_gas_kWh/1000),0,IND_textiel_gas_kWh/1000)*0.902</f>
        <v>19989.90026273585</v>
      </c>
      <c r="E11" s="34">
        <f>C33*'E Balans VL '!I21/100/3.6*1000000</f>
        <v>27.469895484689548</v>
      </c>
      <c r="F11" s="34">
        <f>C33*'E Balans VL '!L21/100/3.6*1000000+C33*'E Balans VL '!N21/100/3.6*1000000</f>
        <v>465.30007692972595</v>
      </c>
      <c r="G11" s="35"/>
      <c r="H11" s="34"/>
      <c r="I11" s="34"/>
      <c r="J11" s="41">
        <f>C33*'E Balans VL '!D21/100/3.6*1000000+C33*'E Balans VL '!E21/100/3.6*1000000</f>
        <v>0</v>
      </c>
      <c r="K11" s="34"/>
      <c r="L11" s="34"/>
      <c r="M11" s="34"/>
      <c r="N11" s="34">
        <f>C33*'E Balans VL '!Y21/100/3.6*1000000</f>
        <v>146.3282426563342</v>
      </c>
      <c r="O11" s="34"/>
      <c r="P11" s="34"/>
      <c r="R11" s="33"/>
    </row>
    <row r="12" spans="1:18">
      <c r="A12" s="6" t="s">
        <v>37</v>
      </c>
      <c r="B12" s="38">
        <f t="shared" si="0"/>
        <v>3183.5173822909701</v>
      </c>
      <c r="C12" s="34"/>
      <c r="D12" s="38">
        <f>IF( ISERROR(IND_min_gas_kWh/1000),0,IND_min_gas_kWh/1000)*0.902</f>
        <v>209.27402070230883</v>
      </c>
      <c r="E12" s="34">
        <f>C34*'E Balans VL '!I22/100/3.6*1000000</f>
        <v>80.707830694588196</v>
      </c>
      <c r="F12" s="34">
        <f>C34*'E Balans VL '!L22/100/3.6*1000000+C34*'E Balans VL '!N22/100/3.6*1000000</f>
        <v>880.89035611714485</v>
      </c>
      <c r="G12" s="35"/>
      <c r="H12" s="34"/>
      <c r="I12" s="34"/>
      <c r="J12" s="41">
        <f>C34*'E Balans VL '!D22/100/3.6*1000000+C34*'E Balans VL '!E22/100/3.6*1000000</f>
        <v>21.024588523421315</v>
      </c>
      <c r="K12" s="34"/>
      <c r="L12" s="34"/>
      <c r="M12" s="34"/>
      <c r="N12" s="34">
        <f>C34*'E Balans VL '!Y22/100/3.6*1000000</f>
        <v>0</v>
      </c>
      <c r="O12" s="34"/>
      <c r="P12" s="34"/>
      <c r="R12" s="33"/>
    </row>
    <row r="13" spans="1:18">
      <c r="A13" s="6" t="s">
        <v>39</v>
      </c>
      <c r="B13" s="38">
        <f t="shared" si="0"/>
        <v>1282.3534139334899</v>
      </c>
      <c r="C13" s="34"/>
      <c r="D13" s="38">
        <f>IF( ISERROR(IND_papier_gas_kWh/1000),0,IND_papier_gas_kWh/1000)*0.902</f>
        <v>689.67395556310396</v>
      </c>
      <c r="E13" s="34">
        <f>C35*'E Balans VL '!I23/100/3.6*1000000</f>
        <v>43.678816570816977</v>
      </c>
      <c r="F13" s="34">
        <f>C35*'E Balans VL '!L23/100/3.6*1000000+C35*'E Balans VL '!N23/100/3.6*1000000</f>
        <v>211.81468779502504</v>
      </c>
      <c r="G13" s="35"/>
      <c r="H13" s="34"/>
      <c r="I13" s="34"/>
      <c r="J13" s="41">
        <f>C35*'E Balans VL '!D23/100/3.6*1000000+C35*'E Balans VL '!E23/100/3.6*1000000</f>
        <v>0</v>
      </c>
      <c r="K13" s="34"/>
      <c r="L13" s="34"/>
      <c r="M13" s="34"/>
      <c r="N13" s="34">
        <f>C35*'E Balans VL '!Y23/100/3.6*1000000</f>
        <v>471.87166627488131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8540.4753225698805</v>
      </c>
      <c r="C15" s="34"/>
      <c r="D15" s="38">
        <f>IF( ISERROR(IND_rest_gas_kWh/1000),0,IND_rest_gas_kWh/1000)*0.902</f>
        <v>48670.771197766182</v>
      </c>
      <c r="E15" s="34">
        <f>C37*'E Balans VL '!I15/100/3.6*1000000</f>
        <v>76.742071778511701</v>
      </c>
      <c r="F15" s="34">
        <f>C37*'E Balans VL '!L15/100/3.6*1000000+C37*'E Balans VL '!N15/100/3.6*1000000</f>
        <v>1681.7944183062746</v>
      </c>
      <c r="G15" s="35"/>
      <c r="H15" s="34"/>
      <c r="I15" s="34"/>
      <c r="J15" s="41">
        <f>C37*'E Balans VL '!D15/100/3.6*1000000+C37*'E Balans VL '!E15/100/3.6*1000000</f>
        <v>42.948089530601713</v>
      </c>
      <c r="K15" s="34"/>
      <c r="L15" s="34"/>
      <c r="M15" s="34"/>
      <c r="N15" s="34">
        <f>C37*'E Balans VL '!Y15/100/3.6*1000000</f>
        <v>262.17009284733496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86672.62069351945</v>
      </c>
      <c r="C18" s="22">
        <f>C5+C16</f>
        <v>0</v>
      </c>
      <c r="D18" s="22">
        <f>MAX((D5+D16),0)</f>
        <v>79817.65347076107</v>
      </c>
      <c r="E18" s="22">
        <f>MAX((E5+E16),0)</f>
        <v>751.20871077513164</v>
      </c>
      <c r="F18" s="22">
        <f>MAX((F5+F16),0)</f>
        <v>20169.554174852863</v>
      </c>
      <c r="G18" s="22"/>
      <c r="H18" s="22"/>
      <c r="I18" s="22"/>
      <c r="J18" s="22">
        <f>MAX((J5+J16),0)</f>
        <v>118.4306394100411</v>
      </c>
      <c r="K18" s="22"/>
      <c r="L18" s="22">
        <f>MAX((L5+L16),0)</f>
        <v>0</v>
      </c>
      <c r="M18" s="22"/>
      <c r="N18" s="22">
        <f>MAX((N5+N16),0)</f>
        <v>2638.2586116859429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0.1850941099083129</v>
      </c>
      <c r="C20" s="26">
        <f ca="1">'EF ele_warmte'!B22</f>
        <v>6.2525519537067115E-2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16042.591580687804</v>
      </c>
      <c r="C22" s="24">
        <f ca="1">C18*C20</f>
        <v>0</v>
      </c>
      <c r="D22" s="24">
        <f>D18*D20</f>
        <v>16123.166001093738</v>
      </c>
      <c r="E22" s="24">
        <f>E18*E20</f>
        <v>170.52437734595489</v>
      </c>
      <c r="F22" s="24">
        <f>F18*F20</f>
        <v>5385.2709646857147</v>
      </c>
      <c r="G22" s="24"/>
      <c r="H22" s="24"/>
      <c r="I22" s="24"/>
      <c r="J22" s="24">
        <f>J18*J20</f>
        <v>41.924446351154543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3224.6021349608</v>
      </c>
      <c r="C30" s="40">
        <f>IF(ISERROR(B30*3.6/1000000/'E Balans VL '!Z18*100),0,B30*3.6/1000000/'E Balans VL '!Z18*100)</f>
        <v>0.17942754608109462</v>
      </c>
      <c r="D30" s="240" t="s">
        <v>707</v>
      </c>
    </row>
    <row r="31" spans="1:18">
      <c r="A31" s="6" t="s">
        <v>33</v>
      </c>
      <c r="B31" s="38">
        <f>IF( ISERROR(IND_ander_ele_kWh/1000),0,IND_ander_ele_kWh/1000)</f>
        <v>14971.502683435599</v>
      </c>
      <c r="C31" s="40">
        <f>IF(ISERROR(B31*3.6/1000000/'E Balans VL '!Z19*100),0,B31*3.6/1000000/'E Balans VL '!Z19*100)</f>
        <v>0.6959858400547555</v>
      </c>
      <c r="D31" s="240" t="s">
        <v>707</v>
      </c>
    </row>
    <row r="32" spans="1:18">
      <c r="A32" s="174" t="s">
        <v>41</v>
      </c>
      <c r="B32" s="38">
        <f>IF( ISERROR(IND_voed_ele_kWh/1000),0,IND_voed_ele_kWh/1000)</f>
        <v>41363.020445572896</v>
      </c>
      <c r="C32" s="40">
        <f>IF(ISERROR(B32*3.6/1000000/'E Balans VL '!Z20*100),0,B32*3.6/1000000/'E Balans VL '!Z20*100)</f>
        <v>1.4620992365934191</v>
      </c>
      <c r="D32" s="240" t="s">
        <v>707</v>
      </c>
    </row>
    <row r="33" spans="1:5">
      <c r="A33" s="174" t="s">
        <v>40</v>
      </c>
      <c r="B33" s="38">
        <f>IF( ISERROR(IND_textiel_ele_kWh/1000),0,IND_textiel_ele_kWh/1000)</f>
        <v>14107.1493107558</v>
      </c>
      <c r="C33" s="40">
        <f>IF(ISERROR(B33*3.6/1000000/'E Balans VL '!Z21*100),0,B33*3.6/1000000/'E Balans VL '!Z21*100)</f>
        <v>1.9053845754071077</v>
      </c>
      <c r="D33" s="240" t="s">
        <v>707</v>
      </c>
    </row>
    <row r="34" spans="1:5">
      <c r="A34" s="174" t="s">
        <v>37</v>
      </c>
      <c r="B34" s="38">
        <f>IF( ISERROR(IND_min_ele_kWh/1000),0,IND_min_ele_kWh/1000)</f>
        <v>3183.5173822909701</v>
      </c>
      <c r="C34" s="40">
        <f>IF(ISERROR(B34*3.6/1000000/'E Balans VL '!Z22*100),0,B34*3.6/1000000/'E Balans VL '!Z22*100)</f>
        <v>0.63979722168317599</v>
      </c>
      <c r="D34" s="240" t="s">
        <v>707</v>
      </c>
    </row>
    <row r="35" spans="1:5">
      <c r="A35" s="174" t="s">
        <v>39</v>
      </c>
      <c r="B35" s="38">
        <f>IF( ISERROR(IND_papier_ele_kWh/1000),0,IND_papier_ele_kWh/1000)</f>
        <v>1282.3534139334899</v>
      </c>
      <c r="C35" s="40">
        <f>IF(ISERROR(B35*3.6/1000000/'E Balans VL '!Z22*100),0,B35*3.6/1000000/'E Balans VL '!Z22*100)</f>
        <v>0.2577168750560303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8540.4753225698805</v>
      </c>
      <c r="C37" s="40">
        <f>IF(ISERROR(B37*3.6/1000000/'E Balans VL '!Z15*100),0,B37*3.6/1000000/'E Balans VL '!Z15*100)</f>
        <v>6.4493204875210763E-2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4412.2625147817771</v>
      </c>
      <c r="C5" s="18">
        <f>'Eigen informatie GS &amp; warmtenet'!B60</f>
        <v>0</v>
      </c>
      <c r="D5" s="31">
        <f>IF(ISERROR(SUM(LB_lb_gas_kWh,LB_rest_gas_kWh)/1000),0,SUM(LB_lb_gas_kWh,LB_rest_gas_kWh)/1000)*0.902</f>
        <v>25651.221968592745</v>
      </c>
      <c r="E5" s="18">
        <f>B17*'E Balans VL '!I25/3.6*1000000/100</f>
        <v>41.566469202105452</v>
      </c>
      <c r="F5" s="18">
        <f>B17*('E Balans VL '!L25/3.6*1000000+'E Balans VL '!N25/3.6*1000000)/100</f>
        <v>14398.676887061876</v>
      </c>
      <c r="G5" s="19"/>
      <c r="H5" s="18"/>
      <c r="I5" s="18"/>
      <c r="J5" s="18">
        <f>('E Balans VL '!D25+'E Balans VL '!E25)/3.6*1000000*landbouw!B17/100</f>
        <v>545.8183343192552</v>
      </c>
      <c r="K5" s="18"/>
      <c r="L5" s="18">
        <f>L6*(-1)</f>
        <v>0</v>
      </c>
      <c r="M5" s="18"/>
      <c r="N5" s="18">
        <f>N6*(-1)</f>
        <v>72102.857142857145</v>
      </c>
      <c r="O5" s="18"/>
      <c r="P5" s="18"/>
      <c r="R5" s="33"/>
    </row>
    <row r="6" spans="1:18">
      <c r="A6" s="17" t="s">
        <v>502</v>
      </c>
      <c r="B6" s="18" t="s">
        <v>211</v>
      </c>
      <c r="C6" s="18">
        <f>'lokale energieproductie'!O92+'lokale energieproductie'!O61</f>
        <v>48908.571428571428</v>
      </c>
      <c r="D6" s="312">
        <f>('lokale energieproductie'!P61+'lokale energieproductie'!P92)*(-1)</f>
        <v>-25714.285714285717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-72102.857142857145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4412.2625147817771</v>
      </c>
      <c r="C8" s="22">
        <f>C5+C6</f>
        <v>48908.571428571428</v>
      </c>
      <c r="D8" s="22">
        <f>MAX((D5+D6),0)</f>
        <v>0</v>
      </c>
      <c r="E8" s="22">
        <f>MAX((E5+E6),0)</f>
        <v>41.566469202105452</v>
      </c>
      <c r="F8" s="22">
        <f>MAX((F5+F6),0)</f>
        <v>14398.676887061876</v>
      </c>
      <c r="G8" s="22"/>
      <c r="H8" s="22"/>
      <c r="I8" s="22"/>
      <c r="J8" s="22">
        <f>MAX((J5+J6),0)</f>
        <v>545.8183343192552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0.1850941099083129</v>
      </c>
      <c r="C10" s="32">
        <f ca="1">'EF ele_warmte'!B22</f>
        <v>6.2525519537067115E-2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816.68380285534738</v>
      </c>
      <c r="C12" s="24">
        <f ca="1">C8*C10</f>
        <v>3058.0338383871854</v>
      </c>
      <c r="D12" s="24">
        <f>D8*D10</f>
        <v>0</v>
      </c>
      <c r="E12" s="24">
        <f>E8*E10</f>
        <v>9.4355885088779381</v>
      </c>
      <c r="F12" s="24">
        <f>F8*F10</f>
        <v>3844.4467288455212</v>
      </c>
      <c r="G12" s="24"/>
      <c r="H12" s="24"/>
      <c r="I12" s="24"/>
      <c r="J12" s="24">
        <f>J8*J10</f>
        <v>193.21969034901633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0.59734983880032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824.73580100907759</v>
      </c>
      <c r="C26" s="250">
        <f>B26*'GWP N2O_CH4'!B5</f>
        <v>17319.451821190629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345.51424371812129</v>
      </c>
      <c r="C27" s="250">
        <f>B27*'GWP N2O_CH4'!B5</f>
        <v>7255.7991180805475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11.443362375572377</v>
      </c>
      <c r="C28" s="250">
        <f>B28*'GWP N2O_CH4'!B4</f>
        <v>3547.4423364274371</v>
      </c>
      <c r="D28" s="51"/>
    </row>
    <row r="29" spans="1:4">
      <c r="A29" s="42" t="s">
        <v>277</v>
      </c>
      <c r="B29" s="250">
        <f>B34*'ha_N2O bodem landbouw'!B4</f>
        <v>25.298978585942322</v>
      </c>
      <c r="C29" s="250">
        <f>B29*'GWP N2O_CH4'!B4</f>
        <v>7842.68336164212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6.829927799607804E-3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1.1721944722649272E-5</v>
      </c>
      <c r="C5" s="447" t="s">
        <v>211</v>
      </c>
      <c r="D5" s="432">
        <f>SUM(D6:D11)</f>
        <v>3.3314719016461448E-5</v>
      </c>
      <c r="E5" s="432">
        <f>SUM(E6:E11)</f>
        <v>1.9228525368976696E-3</v>
      </c>
      <c r="F5" s="445" t="s">
        <v>211</v>
      </c>
      <c r="G5" s="432">
        <f>SUM(G6:G11)</f>
        <v>0.41964017307702639</v>
      </c>
      <c r="H5" s="432">
        <f>SUM(H6:H11)</f>
        <v>7.386254984782957E-2</v>
      </c>
      <c r="I5" s="447" t="s">
        <v>211</v>
      </c>
      <c r="J5" s="447" t="s">
        <v>211</v>
      </c>
      <c r="K5" s="447" t="s">
        <v>211</v>
      </c>
      <c r="L5" s="447" t="s">
        <v>211</v>
      </c>
      <c r="M5" s="432">
        <f>SUM(M6:M11)</f>
        <v>2.2065427789992143E-2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9.3038817915521152E-6</v>
      </c>
      <c r="C6" s="433"/>
      <c r="D6" s="433">
        <f>vkm_2011_GW_PW*SUMIFS(TableVerdeelsleutelVkm[CNG],TableVerdeelsleutelVkm[Voertuigtype],"Lichte voertuigen")*SUMIFS(TableECFTransport[EnergieConsumptieFactor (PJ per km)],TableECFTransport[Index],CONCATENATE($A6,"_CNG_CNG"))</f>
        <v>2.2720235148069005E-5</v>
      </c>
      <c r="E6" s="435">
        <f>vkm_2011_GW_PW*SUMIFS(TableVerdeelsleutelVkm[LPG],TableVerdeelsleutelVkm[Voertuigtype],"Lichte voertuigen")*SUMIFS(TableECFTransport[EnergieConsumptieFactor (PJ per km)],TableECFTransport[Index],CONCATENATE($A6,"_LPG_LPG"))</f>
        <v>1.3467381245598955E-3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0.19468683822726138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5.1021827050112045E-2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1.1003286531381551E-2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0.12657438810757674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5.1067830880798616E-5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5.6388498283510731E-3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2.4180629310971565E-6</v>
      </c>
      <c r="C8" s="433"/>
      <c r="D8" s="435">
        <f>vkm_2011_NGW_PW*SUMIFS(TableVerdeelsleutelVkm[CNG],TableVerdeelsleutelVkm[Voertuigtype],"Lichte voertuigen")*SUMIFS(TableECFTransport[EnergieConsumptieFactor (PJ per km)],TableECFTransport[Index],CONCATENATE($A8,"_CNG_CNG"))</f>
        <v>1.0594483868392443E-5</v>
      </c>
      <c r="E8" s="435">
        <f>vkm_2011_NGW_PW*SUMIFS(TableVerdeelsleutelVkm[LPG],TableVerdeelsleutelVkm[Voertuigtype],"Lichte voertuigen")*SUMIFS(TableECFTransport[EnergieConsumptieFactor (PJ per km)],TableECFTransport[Index],CONCATENATE($A8,"_LPG_LPG"))</f>
        <v>5.7611441233777403E-4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7.8677251078222071E-2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2.2782733924121678E-2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4.5456339947673955E-3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1.9701695663966172E-2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6.9210427150473961E-6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8.7765743549212262E-4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3.2560957562914643</v>
      </c>
      <c r="C14" s="22"/>
      <c r="D14" s="22">
        <f t="shared" ref="D14:M14" si="0">((D5)*10^9/3600)+D12</f>
        <v>9.2540886156837363</v>
      </c>
      <c r="E14" s="22">
        <f t="shared" si="0"/>
        <v>534.12570469379705</v>
      </c>
      <c r="F14" s="22"/>
      <c r="G14" s="22">
        <f t="shared" si="0"/>
        <v>116566.71474361843</v>
      </c>
      <c r="H14" s="22">
        <f t="shared" si="0"/>
        <v>20517.374957730433</v>
      </c>
      <c r="I14" s="22"/>
      <c r="J14" s="22"/>
      <c r="K14" s="22"/>
      <c r="L14" s="22"/>
      <c r="M14" s="22">
        <f t="shared" si="0"/>
        <v>6129.2854972200394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0.1850941099083129</v>
      </c>
      <c r="C16" s="57">
        <f ca="1">'EF ele_warmte'!B22</f>
        <v>6.2525519537067115E-2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0.60268414578700347</v>
      </c>
      <c r="C18" s="24"/>
      <c r="D18" s="24">
        <f t="shared" ref="D18:M18" si="1">D14*D16</f>
        <v>1.8693259003681149</v>
      </c>
      <c r="E18" s="24">
        <f t="shared" si="1"/>
        <v>121.24653496549193</v>
      </c>
      <c r="F18" s="24"/>
      <c r="G18" s="24">
        <f t="shared" si="1"/>
        <v>31123.312836546123</v>
      </c>
      <c r="H18" s="24">
        <f t="shared" si="1"/>
        <v>5108.8263644748777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7.8427956426673634E-3</v>
      </c>
      <c r="H50" s="323">
        <f t="shared" si="2"/>
        <v>0</v>
      </c>
      <c r="I50" s="323">
        <f t="shared" si="2"/>
        <v>0</v>
      </c>
      <c r="J50" s="323">
        <f t="shared" si="2"/>
        <v>0</v>
      </c>
      <c r="K50" s="323">
        <f t="shared" si="2"/>
        <v>0</v>
      </c>
      <c r="L50" s="323">
        <f t="shared" si="2"/>
        <v>0</v>
      </c>
      <c r="M50" s="323">
        <f t="shared" si="2"/>
        <v>3.4439009417019126E-4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7.8427956426673634E-3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3.4439009417019126E-4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2178.5543451853787</v>
      </c>
      <c r="H54" s="22">
        <f t="shared" si="3"/>
        <v>0</v>
      </c>
      <c r="I54" s="22">
        <f t="shared" si="3"/>
        <v>0</v>
      </c>
      <c r="J54" s="22">
        <f t="shared" si="3"/>
        <v>0</v>
      </c>
      <c r="K54" s="22">
        <f t="shared" si="3"/>
        <v>0</v>
      </c>
      <c r="L54" s="22">
        <f t="shared" si="3"/>
        <v>0</v>
      </c>
      <c r="M54" s="22">
        <f t="shared" si="3"/>
        <v>95.663915047275353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0.1850941099083129</v>
      </c>
      <c r="C56" s="57">
        <f ca="1">'EF ele_warmte'!B22</f>
        <v>6.2525519537067115E-2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581.67401016449617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49524.240807393704</v>
      </c>
      <c r="D10" s="688">
        <f ca="1">tertiair!C16</f>
        <v>22.5</v>
      </c>
      <c r="E10" s="688">
        <f ca="1">tertiair!D16</f>
        <v>45404.075304342397</v>
      </c>
      <c r="F10" s="688">
        <f>tertiair!E16</f>
        <v>384.88111742994892</v>
      </c>
      <c r="G10" s="688">
        <f ca="1">tertiair!F16</f>
        <v>10443.473179211522</v>
      </c>
      <c r="H10" s="688">
        <f>tertiair!G16</f>
        <v>0</v>
      </c>
      <c r="I10" s="688">
        <f>tertiair!H16</f>
        <v>0</v>
      </c>
      <c r="J10" s="688">
        <f>tertiair!I16</f>
        <v>0</v>
      </c>
      <c r="K10" s="688">
        <f>tertiair!J16</f>
        <v>0</v>
      </c>
      <c r="L10" s="688">
        <f>tertiair!K16</f>
        <v>0</v>
      </c>
      <c r="M10" s="688">
        <f ca="1">tertiair!L16</f>
        <v>0</v>
      </c>
      <c r="N10" s="688">
        <f>tertiair!M16</f>
        <v>0</v>
      </c>
      <c r="O10" s="688">
        <f ca="1">tertiair!N16</f>
        <v>2684.5896797695191</v>
      </c>
      <c r="P10" s="688">
        <f>tertiair!O16</f>
        <v>0</v>
      </c>
      <c r="Q10" s="689">
        <f>tertiair!P16</f>
        <v>0</v>
      </c>
      <c r="R10" s="691">
        <f ca="1">SUM(C10:Q10)</f>
        <v>108463.76008814709</v>
      </c>
      <c r="S10" s="68"/>
    </row>
    <row r="11" spans="1:19" s="457" customFormat="1">
      <c r="A11" s="803" t="s">
        <v>225</v>
      </c>
      <c r="B11" s="808"/>
      <c r="C11" s="688">
        <f>huishoudens!B8</f>
        <v>59483.360381302773</v>
      </c>
      <c r="D11" s="688">
        <f>huishoudens!C8</f>
        <v>0</v>
      </c>
      <c r="E11" s="688">
        <f>huishoudens!D8</f>
        <v>93442.520286563173</v>
      </c>
      <c r="F11" s="688">
        <f>huishoudens!E8</f>
        <v>11415.280995824403</v>
      </c>
      <c r="G11" s="688">
        <f>huishoudens!F8</f>
        <v>42407.193419427342</v>
      </c>
      <c r="H11" s="688">
        <f>huishoudens!G8</f>
        <v>0</v>
      </c>
      <c r="I11" s="688">
        <f>huishoudens!H8</f>
        <v>0</v>
      </c>
      <c r="J11" s="688">
        <f>huishoudens!I8</f>
        <v>0</v>
      </c>
      <c r="K11" s="688">
        <f>huishoudens!J8</f>
        <v>1568.3838354290508</v>
      </c>
      <c r="L11" s="688">
        <f>huishoudens!K8</f>
        <v>0</v>
      </c>
      <c r="M11" s="688">
        <f>huishoudens!L8</f>
        <v>0</v>
      </c>
      <c r="N11" s="688">
        <f>huishoudens!M8</f>
        <v>0</v>
      </c>
      <c r="O11" s="688">
        <f>huishoudens!N8</f>
        <v>25740.287303135552</v>
      </c>
      <c r="P11" s="688">
        <f>huishoudens!O8</f>
        <v>232.9366666666667</v>
      </c>
      <c r="Q11" s="689">
        <f>huishoudens!P8</f>
        <v>514.79999999999995</v>
      </c>
      <c r="R11" s="691">
        <f>SUM(C11:Q11)</f>
        <v>234804.76288834898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86672.62069351945</v>
      </c>
      <c r="D13" s="688">
        <f>industrie!C18</f>
        <v>0</v>
      </c>
      <c r="E13" s="688">
        <f>industrie!D18</f>
        <v>79817.65347076107</v>
      </c>
      <c r="F13" s="688">
        <f>industrie!E18</f>
        <v>751.20871077513164</v>
      </c>
      <c r="G13" s="688">
        <f>industrie!F18</f>
        <v>20169.554174852863</v>
      </c>
      <c r="H13" s="688">
        <f>industrie!G18</f>
        <v>0</v>
      </c>
      <c r="I13" s="688">
        <f>industrie!H18</f>
        <v>0</v>
      </c>
      <c r="J13" s="688">
        <f>industrie!I18</f>
        <v>0</v>
      </c>
      <c r="K13" s="688">
        <f>industrie!J18</f>
        <v>118.4306394100411</v>
      </c>
      <c r="L13" s="688">
        <f>industrie!K18</f>
        <v>0</v>
      </c>
      <c r="M13" s="688">
        <f>industrie!L18</f>
        <v>0</v>
      </c>
      <c r="N13" s="688">
        <f>industrie!M18</f>
        <v>0</v>
      </c>
      <c r="O13" s="688">
        <f>industrie!N18</f>
        <v>2638.2586116859429</v>
      </c>
      <c r="P13" s="688">
        <f>industrie!O18</f>
        <v>0</v>
      </c>
      <c r="Q13" s="689">
        <f>industrie!P18</f>
        <v>0</v>
      </c>
      <c r="R13" s="691">
        <f>SUM(C13:Q13)</f>
        <v>190167.72630100447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195680.22188221593</v>
      </c>
      <c r="D16" s="721">
        <f t="shared" ref="D16:R16" ca="1" si="0">SUM(D9:D15)</f>
        <v>22.5</v>
      </c>
      <c r="E16" s="721">
        <f t="shared" ca="1" si="0"/>
        <v>218664.24906166666</v>
      </c>
      <c r="F16" s="721">
        <f t="shared" si="0"/>
        <v>12551.370824029484</v>
      </c>
      <c r="G16" s="721">
        <f t="shared" ca="1" si="0"/>
        <v>73020.220773491717</v>
      </c>
      <c r="H16" s="721">
        <f t="shared" si="0"/>
        <v>0</v>
      </c>
      <c r="I16" s="721">
        <f t="shared" si="0"/>
        <v>0</v>
      </c>
      <c r="J16" s="721">
        <f t="shared" si="0"/>
        <v>0</v>
      </c>
      <c r="K16" s="721">
        <f t="shared" si="0"/>
        <v>1686.8144748390919</v>
      </c>
      <c r="L16" s="721">
        <f t="shared" si="0"/>
        <v>0</v>
      </c>
      <c r="M16" s="721">
        <f t="shared" ca="1" si="0"/>
        <v>0</v>
      </c>
      <c r="N16" s="721">
        <f t="shared" si="0"/>
        <v>0</v>
      </c>
      <c r="O16" s="721">
        <f t="shared" ca="1" si="0"/>
        <v>31063.135594591015</v>
      </c>
      <c r="P16" s="721">
        <f t="shared" si="0"/>
        <v>232.9366666666667</v>
      </c>
      <c r="Q16" s="721">
        <f t="shared" si="0"/>
        <v>514.79999999999995</v>
      </c>
      <c r="R16" s="721">
        <f t="shared" ca="1" si="0"/>
        <v>533436.24927750055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2178.5543451853787</v>
      </c>
      <c r="I19" s="688">
        <f>transport!H54</f>
        <v>0</v>
      </c>
      <c r="J19" s="688">
        <f>transport!I54</f>
        <v>0</v>
      </c>
      <c r="K19" s="688">
        <f>transport!J54</f>
        <v>0</v>
      </c>
      <c r="L19" s="688">
        <f>transport!K54</f>
        <v>0</v>
      </c>
      <c r="M19" s="688">
        <f>transport!L54</f>
        <v>0</v>
      </c>
      <c r="N19" s="688">
        <f>transport!M54</f>
        <v>95.663915047275353</v>
      </c>
      <c r="O19" s="688">
        <f>transport!N54</f>
        <v>0</v>
      </c>
      <c r="P19" s="688">
        <f>transport!O54</f>
        <v>0</v>
      </c>
      <c r="Q19" s="689">
        <f>transport!P54</f>
        <v>0</v>
      </c>
      <c r="R19" s="691">
        <f>SUM(C19:Q19)</f>
        <v>2274.2182602326538</v>
      </c>
      <c r="S19" s="68"/>
    </row>
    <row r="20" spans="1:19" s="457" customFormat="1">
      <c r="A20" s="803" t="s">
        <v>307</v>
      </c>
      <c r="B20" s="808"/>
      <c r="C20" s="688">
        <f>transport!B14</f>
        <v>3.2560957562914643</v>
      </c>
      <c r="D20" s="688">
        <f>transport!C14</f>
        <v>0</v>
      </c>
      <c r="E20" s="688">
        <f>transport!D14</f>
        <v>9.2540886156837363</v>
      </c>
      <c r="F20" s="688">
        <f>transport!E14</f>
        <v>534.12570469379705</v>
      </c>
      <c r="G20" s="688">
        <f>transport!F14</f>
        <v>0</v>
      </c>
      <c r="H20" s="688">
        <f>transport!G14</f>
        <v>116566.71474361843</v>
      </c>
      <c r="I20" s="688">
        <f>transport!H14</f>
        <v>20517.374957730433</v>
      </c>
      <c r="J20" s="688">
        <f>transport!I14</f>
        <v>0</v>
      </c>
      <c r="K20" s="688">
        <f>transport!J14</f>
        <v>0</v>
      </c>
      <c r="L20" s="688">
        <f>transport!K14</f>
        <v>0</v>
      </c>
      <c r="M20" s="688">
        <f>transport!L14</f>
        <v>0</v>
      </c>
      <c r="N20" s="688">
        <f>transport!M14</f>
        <v>6129.2854972200394</v>
      </c>
      <c r="O20" s="688">
        <f>transport!N14</f>
        <v>0</v>
      </c>
      <c r="P20" s="688">
        <f>transport!O14</f>
        <v>0</v>
      </c>
      <c r="Q20" s="689">
        <f>transport!P14</f>
        <v>0</v>
      </c>
      <c r="R20" s="691">
        <f>SUM(C20:Q20)</f>
        <v>143760.01108763466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3.2560957562914643</v>
      </c>
      <c r="D22" s="806">
        <f t="shared" ref="D22:R22" si="1">SUM(D18:D21)</f>
        <v>0</v>
      </c>
      <c r="E22" s="806">
        <f t="shared" si="1"/>
        <v>9.2540886156837363</v>
      </c>
      <c r="F22" s="806">
        <f t="shared" si="1"/>
        <v>534.12570469379705</v>
      </c>
      <c r="G22" s="806">
        <f t="shared" si="1"/>
        <v>0</v>
      </c>
      <c r="H22" s="806">
        <f t="shared" si="1"/>
        <v>118745.26908880381</v>
      </c>
      <c r="I22" s="806">
        <f t="shared" si="1"/>
        <v>20517.374957730433</v>
      </c>
      <c r="J22" s="806">
        <f t="shared" si="1"/>
        <v>0</v>
      </c>
      <c r="K22" s="806">
        <f t="shared" si="1"/>
        <v>0</v>
      </c>
      <c r="L22" s="806">
        <f t="shared" si="1"/>
        <v>0</v>
      </c>
      <c r="M22" s="806">
        <f t="shared" si="1"/>
        <v>0</v>
      </c>
      <c r="N22" s="806">
        <f t="shared" si="1"/>
        <v>6224.949412267315</v>
      </c>
      <c r="O22" s="806">
        <f t="shared" si="1"/>
        <v>0</v>
      </c>
      <c r="P22" s="806">
        <f t="shared" si="1"/>
        <v>0</v>
      </c>
      <c r="Q22" s="806">
        <f t="shared" si="1"/>
        <v>0</v>
      </c>
      <c r="R22" s="806">
        <f t="shared" si="1"/>
        <v>146034.22934786731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4412.2625147817771</v>
      </c>
      <c r="D24" s="688">
        <f>+landbouw!C8</f>
        <v>48908.571428571428</v>
      </c>
      <c r="E24" s="688">
        <f>+landbouw!D8</f>
        <v>0</v>
      </c>
      <c r="F24" s="688">
        <f>+landbouw!E8</f>
        <v>41.566469202105452</v>
      </c>
      <c r="G24" s="688">
        <f>+landbouw!F8</f>
        <v>14398.676887061876</v>
      </c>
      <c r="H24" s="688">
        <f>+landbouw!G8</f>
        <v>0</v>
      </c>
      <c r="I24" s="688">
        <f>+landbouw!H8</f>
        <v>0</v>
      </c>
      <c r="J24" s="688">
        <f>+landbouw!I8</f>
        <v>0</v>
      </c>
      <c r="K24" s="688">
        <f>+landbouw!J8</f>
        <v>545.8183343192552</v>
      </c>
      <c r="L24" s="688">
        <f>+landbouw!K8</f>
        <v>0</v>
      </c>
      <c r="M24" s="688">
        <f>+landbouw!L8</f>
        <v>0</v>
      </c>
      <c r="N24" s="688">
        <f>+landbouw!M8</f>
        <v>0</v>
      </c>
      <c r="O24" s="688">
        <f>+landbouw!N8</f>
        <v>0</v>
      </c>
      <c r="P24" s="688">
        <f>+landbouw!O8</f>
        <v>0</v>
      </c>
      <c r="Q24" s="689">
        <f>+landbouw!P8</f>
        <v>0</v>
      </c>
      <c r="R24" s="691">
        <f>SUM(C24:Q24)</f>
        <v>68306.895633936423</v>
      </c>
      <c r="S24" s="68"/>
    </row>
    <row r="25" spans="1:19" s="457" customFormat="1" ht="15" thickBot="1">
      <c r="A25" s="825" t="s">
        <v>912</v>
      </c>
      <c r="B25" s="1001"/>
      <c r="C25" s="1002">
        <f>IF(Onbekend_ele_kWh="---",0,Onbekend_ele_kWh)/1000+IF(REST_rest_ele_kWh="---",0,REST_rest_ele_kWh)/1000</f>
        <v>2146.9219867025599</v>
      </c>
      <c r="D25" s="1002"/>
      <c r="E25" s="1002">
        <f>IF(onbekend_gas_kWh="---",0,onbekend_gas_kWh)/1000+IF(REST_rest_gas_kWh="---",0,REST_rest_gas_kWh)/1000</f>
        <v>4232.15052532141</v>
      </c>
      <c r="F25" s="1002"/>
      <c r="G25" s="1002"/>
      <c r="H25" s="1002"/>
      <c r="I25" s="1002"/>
      <c r="J25" s="1002"/>
      <c r="K25" s="1002"/>
      <c r="L25" s="1002"/>
      <c r="M25" s="1002"/>
      <c r="N25" s="1002"/>
      <c r="O25" s="1002"/>
      <c r="P25" s="1002"/>
      <c r="Q25" s="1003"/>
      <c r="R25" s="691">
        <f>SUM(C25:Q25)</f>
        <v>6379.0725120239695</v>
      </c>
      <c r="S25" s="68"/>
    </row>
    <row r="26" spans="1:19" s="457" customFormat="1" ht="15.75" thickBot="1">
      <c r="A26" s="694" t="s">
        <v>913</v>
      </c>
      <c r="B26" s="811"/>
      <c r="C26" s="806">
        <f>SUM(C24:C25)</f>
        <v>6559.1845014843366</v>
      </c>
      <c r="D26" s="806">
        <f t="shared" ref="D26:R26" si="2">SUM(D24:D25)</f>
        <v>48908.571428571428</v>
      </c>
      <c r="E26" s="806">
        <f t="shared" si="2"/>
        <v>4232.15052532141</v>
      </c>
      <c r="F26" s="806">
        <f t="shared" si="2"/>
        <v>41.566469202105452</v>
      </c>
      <c r="G26" s="806">
        <f t="shared" si="2"/>
        <v>14398.676887061876</v>
      </c>
      <c r="H26" s="806">
        <f t="shared" si="2"/>
        <v>0</v>
      </c>
      <c r="I26" s="806">
        <f t="shared" si="2"/>
        <v>0</v>
      </c>
      <c r="J26" s="806">
        <f t="shared" si="2"/>
        <v>0</v>
      </c>
      <c r="K26" s="806">
        <f t="shared" si="2"/>
        <v>545.8183343192552</v>
      </c>
      <c r="L26" s="806">
        <f t="shared" si="2"/>
        <v>0</v>
      </c>
      <c r="M26" s="806">
        <f t="shared" si="2"/>
        <v>0</v>
      </c>
      <c r="N26" s="806">
        <f t="shared" si="2"/>
        <v>0</v>
      </c>
      <c r="O26" s="806">
        <f t="shared" si="2"/>
        <v>0</v>
      </c>
      <c r="P26" s="806">
        <f t="shared" si="2"/>
        <v>0</v>
      </c>
      <c r="Q26" s="806">
        <f t="shared" si="2"/>
        <v>0</v>
      </c>
      <c r="R26" s="806">
        <f t="shared" si="2"/>
        <v>74685.968145960389</v>
      </c>
      <c r="S26" s="68"/>
    </row>
    <row r="27" spans="1:19" s="457" customFormat="1" ht="17.25" thickTop="1" thickBot="1">
      <c r="A27" s="695" t="s">
        <v>116</v>
      </c>
      <c r="B27" s="798"/>
      <c r="C27" s="696">
        <f ca="1">C22+C16+C26</f>
        <v>202242.66247945654</v>
      </c>
      <c r="D27" s="696">
        <f t="shared" ref="D27:R27" ca="1" si="3">D22+D16+D26</f>
        <v>48931.071428571428</v>
      </c>
      <c r="E27" s="696">
        <f t="shared" ca="1" si="3"/>
        <v>222905.65367560374</v>
      </c>
      <c r="F27" s="696">
        <f t="shared" si="3"/>
        <v>13127.062997925386</v>
      </c>
      <c r="G27" s="696">
        <f t="shared" ca="1" si="3"/>
        <v>87418.897660553601</v>
      </c>
      <c r="H27" s="696">
        <f t="shared" si="3"/>
        <v>118745.26908880381</v>
      </c>
      <c r="I27" s="696">
        <f t="shared" si="3"/>
        <v>20517.374957730433</v>
      </c>
      <c r="J27" s="696">
        <f t="shared" si="3"/>
        <v>0</v>
      </c>
      <c r="K27" s="696">
        <f t="shared" si="3"/>
        <v>2232.6328091583473</v>
      </c>
      <c r="L27" s="696">
        <f t="shared" si="3"/>
        <v>0</v>
      </c>
      <c r="M27" s="696">
        <f t="shared" ca="1" si="3"/>
        <v>0</v>
      </c>
      <c r="N27" s="696">
        <f t="shared" si="3"/>
        <v>6224.949412267315</v>
      </c>
      <c r="O27" s="696">
        <f t="shared" ca="1" si="3"/>
        <v>31063.135594591015</v>
      </c>
      <c r="P27" s="696">
        <f t="shared" si="3"/>
        <v>232.9366666666667</v>
      </c>
      <c r="Q27" s="696">
        <f t="shared" si="3"/>
        <v>514.79999999999995</v>
      </c>
      <c r="R27" s="696">
        <f t="shared" ca="1" si="3"/>
        <v>754156.44677132822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9166.645271129486</v>
      </c>
      <c r="D40" s="688">
        <f ca="1">tertiair!C20</f>
        <v>1.4068241895840101</v>
      </c>
      <c r="E40" s="688">
        <f ca="1">tertiair!D20</f>
        <v>9171.6232114771647</v>
      </c>
      <c r="F40" s="688">
        <f>tertiair!E20</f>
        <v>87.368013656598407</v>
      </c>
      <c r="G40" s="688">
        <f ca="1">tertiair!F20</f>
        <v>2788.4073388494767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21215.450659302311</v>
      </c>
    </row>
    <row r="41" spans="1:18">
      <c r="A41" s="816" t="s">
        <v>225</v>
      </c>
      <c r="B41" s="823"/>
      <c r="C41" s="688">
        <f ca="1">huishoudens!B12</f>
        <v>11010.019644132641</v>
      </c>
      <c r="D41" s="688">
        <f ca="1">huishoudens!C12</f>
        <v>0</v>
      </c>
      <c r="E41" s="688">
        <f>huishoudens!D12</f>
        <v>18875.389097885763</v>
      </c>
      <c r="F41" s="688">
        <f>huishoudens!E12</f>
        <v>2591.2687860521396</v>
      </c>
      <c r="G41" s="688">
        <f>huishoudens!F12</f>
        <v>11322.7206429871</v>
      </c>
      <c r="H41" s="688">
        <f>huishoudens!G12</f>
        <v>0</v>
      </c>
      <c r="I41" s="688">
        <f>huishoudens!H12</f>
        <v>0</v>
      </c>
      <c r="J41" s="688">
        <f>huishoudens!I12</f>
        <v>0</v>
      </c>
      <c r="K41" s="688">
        <f>huishoudens!J12</f>
        <v>555.20787774188398</v>
      </c>
      <c r="L41" s="688">
        <f>huishoudens!K12</f>
        <v>0</v>
      </c>
      <c r="M41" s="688">
        <f>huishoudens!L12</f>
        <v>0</v>
      </c>
      <c r="N41" s="688">
        <f>huishoudens!M12</f>
        <v>0</v>
      </c>
      <c r="O41" s="688">
        <f>huishoudens!N12</f>
        <v>0</v>
      </c>
      <c r="P41" s="688">
        <f>huishoudens!O12</f>
        <v>0</v>
      </c>
      <c r="Q41" s="763">
        <f>huishoudens!P12</f>
        <v>0</v>
      </c>
      <c r="R41" s="844">
        <f t="shared" ca="1" si="4"/>
        <v>44354.606048799535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16042.591580687804</v>
      </c>
      <c r="D43" s="688">
        <f ca="1">industrie!C22</f>
        <v>0</v>
      </c>
      <c r="E43" s="688">
        <f>industrie!D22</f>
        <v>16123.166001093738</v>
      </c>
      <c r="F43" s="688">
        <f>industrie!E22</f>
        <v>170.52437734595489</v>
      </c>
      <c r="G43" s="688">
        <f>industrie!F22</f>
        <v>5385.2709646857147</v>
      </c>
      <c r="H43" s="688">
        <f>industrie!G22</f>
        <v>0</v>
      </c>
      <c r="I43" s="688">
        <f>industrie!H22</f>
        <v>0</v>
      </c>
      <c r="J43" s="688">
        <f>industrie!I22</f>
        <v>0</v>
      </c>
      <c r="K43" s="688">
        <f>industrie!J22</f>
        <v>41.924446351154543</v>
      </c>
      <c r="L43" s="688">
        <f>industrie!K22</f>
        <v>0</v>
      </c>
      <c r="M43" s="688">
        <f>industrie!L22</f>
        <v>0</v>
      </c>
      <c r="N43" s="688">
        <f>industrie!M22</f>
        <v>0</v>
      </c>
      <c r="O43" s="688">
        <f>industrie!N22</f>
        <v>0</v>
      </c>
      <c r="P43" s="688">
        <f>industrie!O22</f>
        <v>0</v>
      </c>
      <c r="Q43" s="763">
        <f>industrie!P22</f>
        <v>0</v>
      </c>
      <c r="R43" s="843">
        <f t="shared" ca="1" si="4"/>
        <v>37763.477370164372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36219.256495949929</v>
      </c>
      <c r="D46" s="721">
        <f t="shared" ref="D46:Q46" ca="1" si="5">SUM(D39:D45)</f>
        <v>1.4068241895840101</v>
      </c>
      <c r="E46" s="721">
        <f t="shared" ca="1" si="5"/>
        <v>44170.178310456671</v>
      </c>
      <c r="F46" s="721">
        <f t="shared" si="5"/>
        <v>2849.1611770546929</v>
      </c>
      <c r="G46" s="721">
        <f t="shared" ca="1" si="5"/>
        <v>19496.398946522291</v>
      </c>
      <c r="H46" s="721">
        <f t="shared" si="5"/>
        <v>0</v>
      </c>
      <c r="I46" s="721">
        <f t="shared" si="5"/>
        <v>0</v>
      </c>
      <c r="J46" s="721">
        <f t="shared" si="5"/>
        <v>0</v>
      </c>
      <c r="K46" s="721">
        <f t="shared" si="5"/>
        <v>597.13232409303851</v>
      </c>
      <c r="L46" s="721">
        <f t="shared" si="5"/>
        <v>0</v>
      </c>
      <c r="M46" s="721">
        <f t="shared" ca="1" si="5"/>
        <v>0</v>
      </c>
      <c r="N46" s="721">
        <f t="shared" si="5"/>
        <v>0</v>
      </c>
      <c r="O46" s="721">
        <f t="shared" ca="1" si="5"/>
        <v>0</v>
      </c>
      <c r="P46" s="721">
        <f t="shared" si="5"/>
        <v>0</v>
      </c>
      <c r="Q46" s="721">
        <f t="shared" si="5"/>
        <v>0</v>
      </c>
      <c r="R46" s="721">
        <f ca="1">SUM(R39:R45)</f>
        <v>103333.53407826622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581.67401016449617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581.67401016449617</v>
      </c>
    </row>
    <row r="50" spans="1:18">
      <c r="A50" s="819" t="s">
        <v>307</v>
      </c>
      <c r="B50" s="829"/>
      <c r="C50" s="1008">
        <f ca="1">transport!B18</f>
        <v>0.60268414578700347</v>
      </c>
      <c r="D50" s="1008">
        <f>transport!C18</f>
        <v>0</v>
      </c>
      <c r="E50" s="1008">
        <f>transport!D18</f>
        <v>1.8693259003681149</v>
      </c>
      <c r="F50" s="1008">
        <f>transport!E18</f>
        <v>121.24653496549193</v>
      </c>
      <c r="G50" s="1008">
        <f>transport!F18</f>
        <v>0</v>
      </c>
      <c r="H50" s="1008">
        <f>transport!G18</f>
        <v>31123.312836546123</v>
      </c>
      <c r="I50" s="1008">
        <f>transport!H18</f>
        <v>5108.8263644748777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36355.857746032649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0.60268414578700347</v>
      </c>
      <c r="D52" s="721">
        <f t="shared" ref="D52:Q52" ca="1" si="6">SUM(D48:D51)</f>
        <v>0</v>
      </c>
      <c r="E52" s="721">
        <f t="shared" si="6"/>
        <v>1.8693259003681149</v>
      </c>
      <c r="F52" s="721">
        <f t="shared" si="6"/>
        <v>121.24653496549193</v>
      </c>
      <c r="G52" s="721">
        <f t="shared" si="6"/>
        <v>0</v>
      </c>
      <c r="H52" s="721">
        <f t="shared" si="6"/>
        <v>31704.986846710621</v>
      </c>
      <c r="I52" s="721">
        <f t="shared" si="6"/>
        <v>5108.8263644748777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36937.531756197146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816.68380285534738</v>
      </c>
      <c r="D54" s="1008">
        <f ca="1">+landbouw!C12</f>
        <v>3058.0338383871854</v>
      </c>
      <c r="E54" s="1008">
        <f>+landbouw!D12</f>
        <v>0</v>
      </c>
      <c r="F54" s="1008">
        <f>+landbouw!E12</f>
        <v>9.4355885088779381</v>
      </c>
      <c r="G54" s="1008">
        <f>+landbouw!F12</f>
        <v>3844.4467288455212</v>
      </c>
      <c r="H54" s="1008">
        <f>+landbouw!G12</f>
        <v>0</v>
      </c>
      <c r="I54" s="1008">
        <f>+landbouw!H12</f>
        <v>0</v>
      </c>
      <c r="J54" s="1008">
        <f>+landbouw!I12</f>
        <v>0</v>
      </c>
      <c r="K54" s="1008">
        <f>+landbouw!J12</f>
        <v>193.21969034901633</v>
      </c>
      <c r="L54" s="1008">
        <f>+landbouw!K12</f>
        <v>0</v>
      </c>
      <c r="M54" s="1008">
        <f>+landbouw!L12</f>
        <v>0</v>
      </c>
      <c r="N54" s="1008">
        <f>+landbouw!M12</f>
        <v>0</v>
      </c>
      <c r="O54" s="1008">
        <f>+landbouw!N12</f>
        <v>0</v>
      </c>
      <c r="P54" s="1008">
        <f>+landbouw!O12</f>
        <v>0</v>
      </c>
      <c r="Q54" s="1009">
        <f>+landbouw!P12</f>
        <v>0</v>
      </c>
      <c r="R54" s="720">
        <f ca="1">SUM(C54:Q54)</f>
        <v>7921.8196489459488</v>
      </c>
    </row>
    <row r="55" spans="1:18" ht="15" thickBot="1">
      <c r="A55" s="819" t="s">
        <v>912</v>
      </c>
      <c r="B55" s="829"/>
      <c r="C55" s="1008">
        <f ca="1">C25*'EF ele_warmte'!B12</f>
        <v>397.38261417129712</v>
      </c>
      <c r="D55" s="1008"/>
      <c r="E55" s="1008">
        <f>E25*EF_CO2_aardgas</f>
        <v>854.89440611492489</v>
      </c>
      <c r="F55" s="1008"/>
      <c r="G55" s="1008"/>
      <c r="H55" s="1008"/>
      <c r="I55" s="1008"/>
      <c r="J55" s="1008"/>
      <c r="K55" s="1008"/>
      <c r="L55" s="1008"/>
      <c r="M55" s="1008"/>
      <c r="N55" s="1008"/>
      <c r="O55" s="1008"/>
      <c r="P55" s="1008"/>
      <c r="Q55" s="1009"/>
      <c r="R55" s="720">
        <f ca="1">SUM(C55:Q55)</f>
        <v>1252.2770202862221</v>
      </c>
    </row>
    <row r="56" spans="1:18" ht="15.75" thickBot="1">
      <c r="A56" s="817" t="s">
        <v>913</v>
      </c>
      <c r="B56" s="830"/>
      <c r="C56" s="721">
        <f ca="1">SUM(C54:C55)</f>
        <v>1214.0664170266446</v>
      </c>
      <c r="D56" s="721">
        <f t="shared" ref="D56:Q56" ca="1" si="7">SUM(D54:D55)</f>
        <v>3058.0338383871854</v>
      </c>
      <c r="E56" s="721">
        <f t="shared" si="7"/>
        <v>854.89440611492489</v>
      </c>
      <c r="F56" s="721">
        <f t="shared" si="7"/>
        <v>9.4355885088779381</v>
      </c>
      <c r="G56" s="721">
        <f t="shared" si="7"/>
        <v>3844.4467288455212</v>
      </c>
      <c r="H56" s="721">
        <f t="shared" si="7"/>
        <v>0</v>
      </c>
      <c r="I56" s="721">
        <f t="shared" si="7"/>
        <v>0</v>
      </c>
      <c r="J56" s="721">
        <f t="shared" si="7"/>
        <v>0</v>
      </c>
      <c r="K56" s="721">
        <f t="shared" si="7"/>
        <v>193.21969034901633</v>
      </c>
      <c r="L56" s="721">
        <f t="shared" si="7"/>
        <v>0</v>
      </c>
      <c r="M56" s="721">
        <f t="shared" si="7"/>
        <v>0</v>
      </c>
      <c r="N56" s="721">
        <f t="shared" si="7"/>
        <v>0</v>
      </c>
      <c r="O56" s="721">
        <f t="shared" si="7"/>
        <v>0</v>
      </c>
      <c r="P56" s="721">
        <f t="shared" si="7"/>
        <v>0</v>
      </c>
      <c r="Q56" s="722">
        <f t="shared" si="7"/>
        <v>0</v>
      </c>
      <c r="R56" s="723">
        <f ca="1">SUM(R54:R55)</f>
        <v>9174.0966692321708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37433.925597122361</v>
      </c>
      <c r="D61" s="729">
        <f t="shared" ref="D61:Q61" ca="1" si="8">D46+D52+D56</f>
        <v>3059.4406625767692</v>
      </c>
      <c r="E61" s="729">
        <f t="shared" ca="1" si="8"/>
        <v>45026.942042471965</v>
      </c>
      <c r="F61" s="729">
        <f t="shared" si="8"/>
        <v>2979.8433005290626</v>
      </c>
      <c r="G61" s="729">
        <f t="shared" ca="1" si="8"/>
        <v>23340.845675367811</v>
      </c>
      <c r="H61" s="729">
        <f t="shared" si="8"/>
        <v>31704.986846710621</v>
      </c>
      <c r="I61" s="729">
        <f t="shared" si="8"/>
        <v>5108.8263644748777</v>
      </c>
      <c r="J61" s="729">
        <f t="shared" si="8"/>
        <v>0</v>
      </c>
      <c r="K61" s="729">
        <f t="shared" si="8"/>
        <v>790.35201444205484</v>
      </c>
      <c r="L61" s="729">
        <f t="shared" si="8"/>
        <v>0</v>
      </c>
      <c r="M61" s="729">
        <f t="shared" ca="1" si="8"/>
        <v>0</v>
      </c>
      <c r="N61" s="729">
        <f t="shared" si="8"/>
        <v>0</v>
      </c>
      <c r="O61" s="729">
        <f t="shared" ca="1" si="8"/>
        <v>0</v>
      </c>
      <c r="P61" s="729">
        <f t="shared" si="8"/>
        <v>0</v>
      </c>
      <c r="Q61" s="729">
        <f t="shared" si="8"/>
        <v>0</v>
      </c>
      <c r="R61" s="729">
        <f ca="1">R46+R52+R56</f>
        <v>149445.16250369555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0.1850941099083129</v>
      </c>
      <c r="D63" s="773">
        <f t="shared" ca="1" si="9"/>
        <v>6.2525519537067115E-2</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8305.2369345994593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25231.578643073011</v>
      </c>
      <c r="C76" s="739">
        <f>'lokale energieproductie'!B8*IFERROR(SUM(D76:H76)/SUM(D76:O76),0)</f>
        <v>9008.921356926985</v>
      </c>
      <c r="D76" s="1020">
        <f>'lokale energieproductie'!C8</f>
        <v>10598.539859945278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29683.674813337664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2140.9050517089463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33536.815577672474</v>
      </c>
      <c r="C78" s="744">
        <f>SUM(C72:C77)</f>
        <v>9008.921356926985</v>
      </c>
      <c r="D78" s="745">
        <f t="shared" ref="D78:H78" si="10">SUM(D76:D77)</f>
        <v>10598.539859945278</v>
      </c>
      <c r="E78" s="745">
        <f t="shared" si="10"/>
        <v>0</v>
      </c>
      <c r="F78" s="745">
        <f t="shared" si="10"/>
        <v>0</v>
      </c>
      <c r="G78" s="745">
        <f t="shared" si="10"/>
        <v>0</v>
      </c>
      <c r="H78" s="745">
        <f t="shared" si="10"/>
        <v>0</v>
      </c>
      <c r="I78" s="745">
        <f>SUM(I76:I77)</f>
        <v>0</v>
      </c>
      <c r="J78" s="745">
        <f>SUM(J76:J77)</f>
        <v>29683.674813337664</v>
      </c>
      <c r="K78" s="745">
        <f t="shared" ref="K78:L78" si="11">SUM(K76:K77)</f>
        <v>0</v>
      </c>
      <c r="L78" s="745">
        <f t="shared" si="11"/>
        <v>0</v>
      </c>
      <c r="M78" s="745">
        <f>SUM(M76:M77)</f>
        <v>0</v>
      </c>
      <c r="N78" s="745">
        <f>SUM(N76:N77)</f>
        <v>0</v>
      </c>
      <c r="O78" s="854">
        <f>SUM(O76:O77)</f>
        <v>0</v>
      </c>
      <c r="P78" s="746">
        <v>0</v>
      </c>
      <c r="Q78" s="746">
        <f>SUM(Q76:Q77)</f>
        <v>2140.9050517089463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36056.955267587298</v>
      </c>
      <c r="C87" s="755">
        <f>'lokale energieproductie'!B17*IFERROR(SUM(D87:H87)/SUM(D87:O87),0)</f>
        <v>12874.116160984126</v>
      </c>
      <c r="D87" s="766">
        <f>'lokale energieproductie'!C17</f>
        <v>15145.745854340441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42419.182329519492</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3059.4406625767692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36056.955267587298</v>
      </c>
      <c r="C90" s="744">
        <f>SUM(C87:C89)</f>
        <v>12874.116160984126</v>
      </c>
      <c r="D90" s="744">
        <f t="shared" ref="D90:H90" si="12">SUM(D87:D89)</f>
        <v>15145.745854340441</v>
      </c>
      <c r="E90" s="744">
        <f t="shared" si="12"/>
        <v>0</v>
      </c>
      <c r="F90" s="744">
        <f t="shared" si="12"/>
        <v>0</v>
      </c>
      <c r="G90" s="744">
        <f t="shared" si="12"/>
        <v>0</v>
      </c>
      <c r="H90" s="744">
        <f t="shared" si="12"/>
        <v>0</v>
      </c>
      <c r="I90" s="744">
        <f>SUM(I87:I89)</f>
        <v>0</v>
      </c>
      <c r="J90" s="744">
        <f>SUM(J87:J89)</f>
        <v>42419.182329519492</v>
      </c>
      <c r="K90" s="744">
        <f t="shared" ref="K90:L90" si="13">SUM(K87:K89)</f>
        <v>0</v>
      </c>
      <c r="L90" s="744">
        <f t="shared" si="13"/>
        <v>0</v>
      </c>
      <c r="M90" s="744">
        <f>SUM(M87:M89)</f>
        <v>0</v>
      </c>
      <c r="N90" s="744">
        <f>SUM(N87:N89)</f>
        <v>0</v>
      </c>
      <c r="O90" s="744">
        <f>SUM(O87:O89)</f>
        <v>0</v>
      </c>
      <c r="P90" s="744">
        <v>0</v>
      </c>
      <c r="Q90" s="744">
        <f>SUM(Q87:Q89)</f>
        <v>3059.4406625767692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8305.2369345994593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34240.5</v>
      </c>
      <c r="C8" s="558">
        <f>B101</f>
        <v>10598.539859945278</v>
      </c>
      <c r="D8" s="991"/>
      <c r="E8" s="991">
        <f>E101</f>
        <v>0</v>
      </c>
      <c r="F8" s="992"/>
      <c r="G8" s="559"/>
      <c r="H8" s="991">
        <f>I101</f>
        <v>0</v>
      </c>
      <c r="I8" s="991">
        <f>G101+F101</f>
        <v>0</v>
      </c>
      <c r="J8" s="991">
        <f>H101+D101+C101</f>
        <v>29683.674813337664</v>
      </c>
      <c r="K8" s="991"/>
      <c r="L8" s="991"/>
      <c r="M8" s="991"/>
      <c r="N8" s="560"/>
      <c r="O8" s="561">
        <f>C8*$C$12+D8*$D$12+E8*$E$12+F8*$F$12+G8*$G$12+H8*$H$12+I8*$I$12+J8*$J$12</f>
        <v>2140.9050517089463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42545.736934599459</v>
      </c>
      <c r="C10" s="570">
        <f t="shared" ref="C10:L10" si="0">SUM(C8:C9)</f>
        <v>10598.539859945278</v>
      </c>
      <c r="D10" s="570">
        <f t="shared" si="0"/>
        <v>0</v>
      </c>
      <c r="E10" s="570">
        <f t="shared" si="0"/>
        <v>0</v>
      </c>
      <c r="F10" s="570">
        <f t="shared" si="0"/>
        <v>0</v>
      </c>
      <c r="G10" s="570">
        <f t="shared" si="0"/>
        <v>0</v>
      </c>
      <c r="H10" s="570">
        <f t="shared" si="0"/>
        <v>0</v>
      </c>
      <c r="I10" s="570">
        <f t="shared" si="0"/>
        <v>0</v>
      </c>
      <c r="J10" s="570">
        <f t="shared" si="0"/>
        <v>29683.674813337664</v>
      </c>
      <c r="K10" s="570">
        <f t="shared" si="0"/>
        <v>0</v>
      </c>
      <c r="L10" s="570">
        <f t="shared" si="0"/>
        <v>0</v>
      </c>
      <c r="M10" s="995"/>
      <c r="N10" s="995"/>
      <c r="O10" s="571">
        <f>SUM(O4:O9)</f>
        <v>2140.9050517089463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48931.071428571428</v>
      </c>
      <c r="C17" s="582">
        <f>B102</f>
        <v>15145.745854340441</v>
      </c>
      <c r="D17" s="583"/>
      <c r="E17" s="583">
        <f>E102</f>
        <v>0</v>
      </c>
      <c r="F17" s="584"/>
      <c r="G17" s="585"/>
      <c r="H17" s="582">
        <f>I102</f>
        <v>0</v>
      </c>
      <c r="I17" s="583">
        <f>G102+F102</f>
        <v>0</v>
      </c>
      <c r="J17" s="583">
        <f>H102+D102+C102</f>
        <v>42419.182329519492</v>
      </c>
      <c r="K17" s="583"/>
      <c r="L17" s="583"/>
      <c r="M17" s="583"/>
      <c r="N17" s="998"/>
      <c r="O17" s="586">
        <f>C17*$C$22+E17*$E$22+H17*$H$22+I17*$I$22+J17*$J$22+D17*$D$22+F17*$F$22+G17*$G$22+K17*$K$22+L17*$L$22</f>
        <v>3059.4406625767692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48931.071428571428</v>
      </c>
      <c r="C20" s="569">
        <f>SUM(C17:C19)</f>
        <v>15145.745854340441</v>
      </c>
      <c r="D20" s="569">
        <f t="shared" ref="D20:L20" si="1">SUM(D17:D19)</f>
        <v>0</v>
      </c>
      <c r="E20" s="569">
        <f t="shared" si="1"/>
        <v>0</v>
      </c>
      <c r="F20" s="569">
        <f t="shared" si="1"/>
        <v>0</v>
      </c>
      <c r="G20" s="569">
        <f t="shared" si="1"/>
        <v>0</v>
      </c>
      <c r="H20" s="569">
        <f t="shared" si="1"/>
        <v>0</v>
      </c>
      <c r="I20" s="569">
        <f t="shared" si="1"/>
        <v>0</v>
      </c>
      <c r="J20" s="569">
        <f t="shared" si="1"/>
        <v>42419.182329519492</v>
      </c>
      <c r="K20" s="569">
        <f t="shared" si="1"/>
        <v>0</v>
      </c>
      <c r="L20" s="569">
        <f t="shared" si="1"/>
        <v>0</v>
      </c>
      <c r="M20" s="569"/>
      <c r="N20" s="569"/>
      <c r="O20" s="590">
        <f>SUM(O17:O19)</f>
        <v>3059.4406625767692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44011</v>
      </c>
      <c r="C28" s="789">
        <v>9800</v>
      </c>
      <c r="D28" s="642" t="s">
        <v>948</v>
      </c>
      <c r="E28" s="641" t="s">
        <v>949</v>
      </c>
      <c r="F28" s="641" t="s">
        <v>950</v>
      </c>
      <c r="G28" s="641" t="s">
        <v>951</v>
      </c>
      <c r="H28" s="641" t="s">
        <v>952</v>
      </c>
      <c r="I28" s="641" t="s">
        <v>949</v>
      </c>
      <c r="J28" s="788">
        <v>39860</v>
      </c>
      <c r="K28" s="788">
        <v>39875</v>
      </c>
      <c r="L28" s="641" t="s">
        <v>953</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63.75">
      <c r="A29" s="594"/>
      <c r="B29" s="789">
        <v>44011</v>
      </c>
      <c r="C29" s="789">
        <v>9800</v>
      </c>
      <c r="D29" s="642" t="s">
        <v>954</v>
      </c>
      <c r="E29" s="641" t="s">
        <v>955</v>
      </c>
      <c r="F29" s="641" t="s">
        <v>956</v>
      </c>
      <c r="G29" s="641" t="s">
        <v>957</v>
      </c>
      <c r="H29" s="641" t="s">
        <v>957</v>
      </c>
      <c r="I29" s="641" t="s">
        <v>955</v>
      </c>
      <c r="J29" s="788">
        <v>40679</v>
      </c>
      <c r="K29" s="788">
        <v>40848</v>
      </c>
      <c r="L29" s="641" t="s">
        <v>953</v>
      </c>
      <c r="M29" s="641">
        <v>1</v>
      </c>
      <c r="N29" s="641">
        <v>4.5</v>
      </c>
      <c r="O29" s="641">
        <v>22.5</v>
      </c>
      <c r="P29" s="641">
        <v>30</v>
      </c>
      <c r="Q29" s="641">
        <v>0</v>
      </c>
      <c r="R29" s="641">
        <v>0</v>
      </c>
      <c r="S29" s="641">
        <v>0</v>
      </c>
      <c r="T29" s="641">
        <v>0</v>
      </c>
      <c r="U29" s="641">
        <v>0</v>
      </c>
      <c r="V29" s="641">
        <v>0</v>
      </c>
      <c r="W29" s="641"/>
      <c r="X29" s="641">
        <v>1600</v>
      </c>
      <c r="Y29" s="641" t="s">
        <v>50</v>
      </c>
      <c r="Z29" s="643" t="s">
        <v>156</v>
      </c>
    </row>
    <row r="30" spans="1:26" s="595" customFormat="1" ht="38.25">
      <c r="A30" s="594"/>
      <c r="B30" s="789">
        <v>44011</v>
      </c>
      <c r="C30" s="789">
        <v>9800</v>
      </c>
      <c r="D30" s="642" t="s">
        <v>958</v>
      </c>
      <c r="E30" s="641" t="s">
        <v>959</v>
      </c>
      <c r="F30" s="641" t="s">
        <v>960</v>
      </c>
      <c r="G30" s="641" t="s">
        <v>961</v>
      </c>
      <c r="H30" s="641" t="s">
        <v>962</v>
      </c>
      <c r="I30" s="641" t="s">
        <v>959</v>
      </c>
      <c r="J30" s="788">
        <v>40718</v>
      </c>
      <c r="K30" s="788">
        <v>40718</v>
      </c>
      <c r="L30" s="641" t="s">
        <v>953</v>
      </c>
      <c r="M30" s="641">
        <v>5608</v>
      </c>
      <c r="N30" s="641">
        <v>25236</v>
      </c>
      <c r="O30" s="641">
        <v>36051.428571428572</v>
      </c>
      <c r="P30" s="641">
        <v>0</v>
      </c>
      <c r="Q30" s="641">
        <v>0</v>
      </c>
      <c r="R30" s="641">
        <v>0</v>
      </c>
      <c r="S30" s="641">
        <v>0</v>
      </c>
      <c r="T30" s="641">
        <v>0</v>
      </c>
      <c r="U30" s="641">
        <v>0</v>
      </c>
      <c r="V30" s="641">
        <v>72102.857142857145</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7609</v>
      </c>
      <c r="N58" s="599">
        <f>SUM(N28:N57)</f>
        <v>34240.5</v>
      </c>
      <c r="O58" s="599">
        <f t="shared" ref="O58:W58" si="2">SUM(O28:O57)</f>
        <v>48931.071428571428</v>
      </c>
      <c r="P58" s="599">
        <f t="shared" si="2"/>
        <v>25744.285714285717</v>
      </c>
      <c r="Q58" s="599">
        <f t="shared" si="2"/>
        <v>0</v>
      </c>
      <c r="R58" s="599">
        <f t="shared" si="2"/>
        <v>0</v>
      </c>
      <c r="S58" s="599">
        <f t="shared" si="2"/>
        <v>0</v>
      </c>
      <c r="T58" s="599">
        <f t="shared" si="2"/>
        <v>0</v>
      </c>
      <c r="U58" s="599">
        <f t="shared" si="2"/>
        <v>0</v>
      </c>
      <c r="V58" s="599">
        <f t="shared" si="2"/>
        <v>72102.857142857145</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4.5</v>
      </c>
      <c r="O60" s="599">
        <f ca="1">SUMIF($Z$28:AE57,"tertiair",O28:O57)</f>
        <v>22.5</v>
      </c>
      <c r="P60" s="599">
        <f ca="1">SUMIF($Z$28:AF57,"tertiair",P28:P57)</f>
        <v>30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7608</v>
      </c>
      <c r="N61" s="604">
        <f t="shared" si="4"/>
        <v>34236</v>
      </c>
      <c r="O61" s="604">
        <f t="shared" si="4"/>
        <v>48908.571428571428</v>
      </c>
      <c r="P61" s="604">
        <f t="shared" si="4"/>
        <v>25714.285714285717</v>
      </c>
      <c r="Q61" s="604">
        <f t="shared" si="4"/>
        <v>0</v>
      </c>
      <c r="R61" s="604">
        <f t="shared" si="4"/>
        <v>0</v>
      </c>
      <c r="S61" s="604">
        <f t="shared" si="4"/>
        <v>0</v>
      </c>
      <c r="T61" s="604">
        <f t="shared" si="4"/>
        <v>0</v>
      </c>
      <c r="U61" s="604">
        <f t="shared" si="4"/>
        <v>0</v>
      </c>
      <c r="V61" s="604">
        <f t="shared" si="4"/>
        <v>72102.857142857145</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0.58831486033174119</v>
      </c>
      <c r="C98" s="624">
        <f>IF(ISERROR(N58/(O58+N58)),0,N58/(N58+O58))</f>
        <v>0.41168513966825893</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10598.539859945278</v>
      </c>
      <c r="C101" s="633">
        <f t="shared" si="9"/>
        <v>0</v>
      </c>
      <c r="D101" s="633">
        <f t="shared" si="9"/>
        <v>0</v>
      </c>
      <c r="E101" s="633">
        <f t="shared" si="9"/>
        <v>0</v>
      </c>
      <c r="F101" s="633">
        <f t="shared" si="9"/>
        <v>0</v>
      </c>
      <c r="G101" s="633">
        <f t="shared" si="9"/>
        <v>0</v>
      </c>
      <c r="H101" s="633">
        <f t="shared" si="9"/>
        <v>29683.674813337664</v>
      </c>
      <c r="I101" s="634">
        <f t="shared" si="9"/>
        <v>0</v>
      </c>
      <c r="J101" s="591"/>
      <c r="K101" s="591"/>
      <c r="L101" s="629"/>
      <c r="M101" s="629"/>
      <c r="N101" s="629"/>
      <c r="O101" s="616"/>
      <c r="P101" s="616"/>
    </row>
    <row r="102" spans="1:16" ht="15.75" thickBot="1">
      <c r="A102" s="635" t="s">
        <v>286</v>
      </c>
      <c r="B102" s="636">
        <f t="shared" ref="B102:I102" si="10">$B$98*P58</f>
        <v>15145.745854340441</v>
      </c>
      <c r="C102" s="636">
        <f t="shared" si="10"/>
        <v>0</v>
      </c>
      <c r="D102" s="636">
        <f t="shared" si="10"/>
        <v>0</v>
      </c>
      <c r="E102" s="636">
        <f t="shared" si="10"/>
        <v>0</v>
      </c>
      <c r="F102" s="636">
        <f t="shared" si="10"/>
        <v>0</v>
      </c>
      <c r="G102" s="636">
        <f t="shared" si="10"/>
        <v>0</v>
      </c>
      <c r="H102" s="636">
        <f t="shared" si="10"/>
        <v>42419.182329519492</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59483.360381302773</v>
      </c>
      <c r="C4" s="461">
        <f>huishoudens!C8</f>
        <v>0</v>
      </c>
      <c r="D4" s="461">
        <f>huishoudens!D8</f>
        <v>93442.520286563173</v>
      </c>
      <c r="E4" s="461">
        <f>huishoudens!E8</f>
        <v>11415.280995824403</v>
      </c>
      <c r="F4" s="461">
        <f>huishoudens!F8</f>
        <v>42407.193419427342</v>
      </c>
      <c r="G4" s="461">
        <f>huishoudens!G8</f>
        <v>0</v>
      </c>
      <c r="H4" s="461">
        <f>huishoudens!H8</f>
        <v>0</v>
      </c>
      <c r="I4" s="461">
        <f>huishoudens!I8</f>
        <v>0</v>
      </c>
      <c r="J4" s="461">
        <f>huishoudens!J8</f>
        <v>1568.3838354290508</v>
      </c>
      <c r="K4" s="461">
        <f>huishoudens!K8</f>
        <v>0</v>
      </c>
      <c r="L4" s="461">
        <f>huishoudens!L8</f>
        <v>0</v>
      </c>
      <c r="M4" s="461">
        <f>huishoudens!M8</f>
        <v>0</v>
      </c>
      <c r="N4" s="461">
        <f>huishoudens!N8</f>
        <v>25740.287303135552</v>
      </c>
      <c r="O4" s="461">
        <f>huishoudens!O8</f>
        <v>232.9366666666667</v>
      </c>
      <c r="P4" s="462">
        <f>huishoudens!P8</f>
        <v>514.79999999999995</v>
      </c>
      <c r="Q4" s="463">
        <f>SUM(B4:P4)</f>
        <v>234804.76288834898</v>
      </c>
    </row>
    <row r="5" spans="1:17">
      <c r="A5" s="460" t="s">
        <v>156</v>
      </c>
      <c r="B5" s="461">
        <f ca="1">tertiair!B16</f>
        <v>46832.792807393707</v>
      </c>
      <c r="C5" s="461">
        <f ca="1">tertiair!C16</f>
        <v>22.5</v>
      </c>
      <c r="D5" s="461">
        <f ca="1">tertiair!D16</f>
        <v>45404.075304342397</v>
      </c>
      <c r="E5" s="461">
        <f>tertiair!E16</f>
        <v>384.88111742994892</v>
      </c>
      <c r="F5" s="461">
        <f ca="1">tertiair!F16</f>
        <v>10443.473179211522</v>
      </c>
      <c r="G5" s="461">
        <f>tertiair!G16</f>
        <v>0</v>
      </c>
      <c r="H5" s="461">
        <f>tertiair!H16</f>
        <v>0</v>
      </c>
      <c r="I5" s="461">
        <f>tertiair!I16</f>
        <v>0</v>
      </c>
      <c r="J5" s="461">
        <f>tertiair!J16</f>
        <v>0</v>
      </c>
      <c r="K5" s="461">
        <f>tertiair!K16</f>
        <v>0</v>
      </c>
      <c r="L5" s="461">
        <f ca="1">tertiair!L16</f>
        <v>0</v>
      </c>
      <c r="M5" s="461">
        <f>tertiair!M16</f>
        <v>0</v>
      </c>
      <c r="N5" s="461">
        <f ca="1">tertiair!N16</f>
        <v>2684.5896797695191</v>
      </c>
      <c r="O5" s="461">
        <f>tertiair!O16</f>
        <v>0</v>
      </c>
      <c r="P5" s="462">
        <f>tertiair!P16</f>
        <v>0</v>
      </c>
      <c r="Q5" s="460">
        <f t="shared" ref="Q5:Q14" ca="1" si="0">SUM(B5:P5)</f>
        <v>105772.3120881471</v>
      </c>
    </row>
    <row r="6" spans="1:17">
      <c r="A6" s="460" t="s">
        <v>194</v>
      </c>
      <c r="B6" s="461">
        <f>'openbare verlichting'!B8</f>
        <v>2691.4479999999999</v>
      </c>
      <c r="C6" s="461"/>
      <c r="D6" s="461"/>
      <c r="E6" s="461"/>
      <c r="F6" s="461"/>
      <c r="G6" s="461"/>
      <c r="H6" s="461"/>
      <c r="I6" s="461"/>
      <c r="J6" s="461"/>
      <c r="K6" s="461"/>
      <c r="L6" s="461"/>
      <c r="M6" s="461"/>
      <c r="N6" s="461"/>
      <c r="O6" s="461"/>
      <c r="P6" s="462"/>
      <c r="Q6" s="460">
        <f t="shared" si="0"/>
        <v>2691.4479999999999</v>
      </c>
    </row>
    <row r="7" spans="1:17">
      <c r="A7" s="460" t="s">
        <v>112</v>
      </c>
      <c r="B7" s="461">
        <f>landbouw!B8</f>
        <v>4412.2625147817771</v>
      </c>
      <c r="C7" s="461">
        <f>landbouw!C8</f>
        <v>48908.571428571428</v>
      </c>
      <c r="D7" s="461">
        <f>landbouw!D8</f>
        <v>0</v>
      </c>
      <c r="E7" s="461">
        <f>landbouw!E8</f>
        <v>41.566469202105452</v>
      </c>
      <c r="F7" s="461">
        <f>landbouw!F8</f>
        <v>14398.676887061876</v>
      </c>
      <c r="G7" s="461">
        <f>landbouw!G8</f>
        <v>0</v>
      </c>
      <c r="H7" s="461">
        <f>landbouw!H8</f>
        <v>0</v>
      </c>
      <c r="I7" s="461">
        <f>landbouw!I8</f>
        <v>0</v>
      </c>
      <c r="J7" s="461">
        <f>landbouw!J8</f>
        <v>545.8183343192552</v>
      </c>
      <c r="K7" s="461">
        <f>landbouw!K8</f>
        <v>0</v>
      </c>
      <c r="L7" s="461">
        <f>landbouw!L8</f>
        <v>0</v>
      </c>
      <c r="M7" s="461">
        <f>landbouw!M8</f>
        <v>0</v>
      </c>
      <c r="N7" s="461">
        <f>landbouw!N8</f>
        <v>0</v>
      </c>
      <c r="O7" s="461">
        <f>landbouw!O8</f>
        <v>0</v>
      </c>
      <c r="P7" s="462">
        <f>landbouw!P8</f>
        <v>0</v>
      </c>
      <c r="Q7" s="460">
        <f t="shared" si="0"/>
        <v>68306.895633936423</v>
      </c>
    </row>
    <row r="8" spans="1:17">
      <c r="A8" s="460" t="s">
        <v>685</v>
      </c>
      <c r="B8" s="461">
        <f>industrie!B18</f>
        <v>86672.62069351945</v>
      </c>
      <c r="C8" s="461">
        <f>industrie!C18</f>
        <v>0</v>
      </c>
      <c r="D8" s="461">
        <f>industrie!D18</f>
        <v>79817.65347076107</v>
      </c>
      <c r="E8" s="461">
        <f>industrie!E18</f>
        <v>751.20871077513164</v>
      </c>
      <c r="F8" s="461">
        <f>industrie!F18</f>
        <v>20169.554174852863</v>
      </c>
      <c r="G8" s="461">
        <f>industrie!G18</f>
        <v>0</v>
      </c>
      <c r="H8" s="461">
        <f>industrie!H18</f>
        <v>0</v>
      </c>
      <c r="I8" s="461">
        <f>industrie!I18</f>
        <v>0</v>
      </c>
      <c r="J8" s="461">
        <f>industrie!J18</f>
        <v>118.4306394100411</v>
      </c>
      <c r="K8" s="461">
        <f>industrie!K18</f>
        <v>0</v>
      </c>
      <c r="L8" s="461">
        <f>industrie!L18</f>
        <v>0</v>
      </c>
      <c r="M8" s="461">
        <f>industrie!M18</f>
        <v>0</v>
      </c>
      <c r="N8" s="461">
        <f>industrie!N18</f>
        <v>2638.2586116859429</v>
      </c>
      <c r="O8" s="461">
        <f>industrie!O18</f>
        <v>0</v>
      </c>
      <c r="P8" s="462">
        <f>industrie!P18</f>
        <v>0</v>
      </c>
      <c r="Q8" s="460">
        <f t="shared" si="0"/>
        <v>190167.72630100447</v>
      </c>
    </row>
    <row r="9" spans="1:17" s="466" customFormat="1">
      <c r="A9" s="464" t="s">
        <v>579</v>
      </c>
      <c r="B9" s="465">
        <f>transport!B14</f>
        <v>3.2560957562914643</v>
      </c>
      <c r="C9" s="465">
        <f>transport!C14</f>
        <v>0</v>
      </c>
      <c r="D9" s="465">
        <f>transport!D14</f>
        <v>9.2540886156837363</v>
      </c>
      <c r="E9" s="465">
        <f>transport!E14</f>
        <v>534.12570469379705</v>
      </c>
      <c r="F9" s="465">
        <f>transport!F14</f>
        <v>0</v>
      </c>
      <c r="G9" s="465">
        <f>transport!G14</f>
        <v>116566.71474361843</v>
      </c>
      <c r="H9" s="465">
        <f>transport!H14</f>
        <v>20517.374957730433</v>
      </c>
      <c r="I9" s="465">
        <f>transport!I14</f>
        <v>0</v>
      </c>
      <c r="J9" s="465">
        <f>transport!J14</f>
        <v>0</v>
      </c>
      <c r="K9" s="465">
        <f>transport!K14</f>
        <v>0</v>
      </c>
      <c r="L9" s="465">
        <f>transport!L14</f>
        <v>0</v>
      </c>
      <c r="M9" s="465">
        <f>transport!M14</f>
        <v>6129.2854972200394</v>
      </c>
      <c r="N9" s="465">
        <f>transport!N14</f>
        <v>0</v>
      </c>
      <c r="O9" s="465">
        <f>transport!O14</f>
        <v>0</v>
      </c>
      <c r="P9" s="465">
        <f>transport!P14</f>
        <v>0</v>
      </c>
      <c r="Q9" s="464">
        <f>SUM(B9:P9)</f>
        <v>143760.01108763466</v>
      </c>
    </row>
    <row r="10" spans="1:17">
      <c r="A10" s="460" t="s">
        <v>569</v>
      </c>
      <c r="B10" s="461">
        <f>transport!B54</f>
        <v>0</v>
      </c>
      <c r="C10" s="461">
        <f>transport!C54</f>
        <v>0</v>
      </c>
      <c r="D10" s="461">
        <f>transport!D54</f>
        <v>0</v>
      </c>
      <c r="E10" s="461">
        <f>transport!E54</f>
        <v>0</v>
      </c>
      <c r="F10" s="461">
        <f>transport!F54</f>
        <v>0</v>
      </c>
      <c r="G10" s="461">
        <f>transport!G54</f>
        <v>2178.5543451853787</v>
      </c>
      <c r="H10" s="461">
        <f>transport!H54</f>
        <v>0</v>
      </c>
      <c r="I10" s="461">
        <f>transport!I54</f>
        <v>0</v>
      </c>
      <c r="J10" s="461">
        <f>transport!J54</f>
        <v>0</v>
      </c>
      <c r="K10" s="461">
        <f>transport!K54</f>
        <v>0</v>
      </c>
      <c r="L10" s="461">
        <f>transport!L54</f>
        <v>0</v>
      </c>
      <c r="M10" s="461">
        <f>transport!M54</f>
        <v>95.663915047275353</v>
      </c>
      <c r="N10" s="461">
        <f>transport!N54</f>
        <v>0</v>
      </c>
      <c r="O10" s="461">
        <f>transport!O54</f>
        <v>0</v>
      </c>
      <c r="P10" s="462">
        <f>transport!P54</f>
        <v>0</v>
      </c>
      <c r="Q10" s="460">
        <f t="shared" si="0"/>
        <v>2274.2182602326538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2146.9219867025599</v>
      </c>
      <c r="C14" s="468"/>
      <c r="D14" s="468">
        <f>'SEAP template'!E25</f>
        <v>4232.15052532141</v>
      </c>
      <c r="E14" s="468"/>
      <c r="F14" s="468"/>
      <c r="G14" s="468"/>
      <c r="H14" s="468"/>
      <c r="I14" s="468"/>
      <c r="J14" s="468"/>
      <c r="K14" s="468"/>
      <c r="L14" s="468"/>
      <c r="M14" s="468"/>
      <c r="N14" s="468"/>
      <c r="O14" s="468"/>
      <c r="P14" s="469"/>
      <c r="Q14" s="460">
        <f t="shared" si="0"/>
        <v>6379.0725120239695</v>
      </c>
    </row>
    <row r="15" spans="1:17" s="473" customFormat="1">
      <c r="A15" s="470" t="s">
        <v>573</v>
      </c>
      <c r="B15" s="471">
        <f ca="1">SUM(B4:B14)</f>
        <v>202242.66247945657</v>
      </c>
      <c r="C15" s="471">
        <f t="shared" ref="C15:Q15" ca="1" si="1">SUM(C4:C14)</f>
        <v>48931.071428571428</v>
      </c>
      <c r="D15" s="471">
        <f t="shared" ca="1" si="1"/>
        <v>222905.65367560374</v>
      </c>
      <c r="E15" s="471">
        <f t="shared" si="1"/>
        <v>13127.062997925386</v>
      </c>
      <c r="F15" s="471">
        <f t="shared" ca="1" si="1"/>
        <v>87418.897660553601</v>
      </c>
      <c r="G15" s="471">
        <f t="shared" si="1"/>
        <v>118745.26908880381</v>
      </c>
      <c r="H15" s="471">
        <f t="shared" si="1"/>
        <v>20517.374957730433</v>
      </c>
      <c r="I15" s="471">
        <f t="shared" si="1"/>
        <v>0</v>
      </c>
      <c r="J15" s="471">
        <f t="shared" si="1"/>
        <v>2232.6328091583473</v>
      </c>
      <c r="K15" s="471">
        <f t="shared" si="1"/>
        <v>0</v>
      </c>
      <c r="L15" s="471">
        <f t="shared" ca="1" si="1"/>
        <v>0</v>
      </c>
      <c r="M15" s="471">
        <f t="shared" si="1"/>
        <v>6224.949412267315</v>
      </c>
      <c r="N15" s="471">
        <f t="shared" ca="1" si="1"/>
        <v>31063.135594591015</v>
      </c>
      <c r="O15" s="471">
        <f t="shared" si="1"/>
        <v>232.9366666666667</v>
      </c>
      <c r="P15" s="471">
        <f t="shared" si="1"/>
        <v>514.79999999999995</v>
      </c>
      <c r="Q15" s="471">
        <f t="shared" ca="1" si="1"/>
        <v>754156.4467713281</v>
      </c>
    </row>
    <row r="17" spans="1:17">
      <c r="A17" s="474" t="s">
        <v>574</v>
      </c>
      <c r="B17" s="778">
        <f ca="1">huishoudens!B10</f>
        <v>0.1850941099083129</v>
      </c>
      <c r="C17" s="778">
        <f ca="1">huishoudens!C10</f>
        <v>6.2525519537067115E-2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11010.019644132641</v>
      </c>
      <c r="C22" s="461">
        <f t="shared" ref="C22:C32" ca="1" si="3">C4*$C$17</f>
        <v>0</v>
      </c>
      <c r="D22" s="461">
        <f t="shared" ref="D22:D32" si="4">D4*$D$17</f>
        <v>18875.389097885763</v>
      </c>
      <c r="E22" s="461">
        <f t="shared" ref="E22:E32" si="5">E4*$E$17</f>
        <v>2591.2687860521396</v>
      </c>
      <c r="F22" s="461">
        <f t="shared" ref="F22:F32" si="6">F4*$F$17</f>
        <v>11322.7206429871</v>
      </c>
      <c r="G22" s="461">
        <f t="shared" ref="G22:G32" si="7">G4*$G$17</f>
        <v>0</v>
      </c>
      <c r="H22" s="461">
        <f t="shared" ref="H22:H32" si="8">H4*$H$17</f>
        <v>0</v>
      </c>
      <c r="I22" s="461">
        <f t="shared" ref="I22:I32" si="9">I4*$I$17</f>
        <v>0</v>
      </c>
      <c r="J22" s="461">
        <f t="shared" ref="J22:J32" si="10">J4*$J$17</f>
        <v>555.20787774188398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44354.606048799535</v>
      </c>
    </row>
    <row r="23" spans="1:17">
      <c r="A23" s="460" t="s">
        <v>156</v>
      </c>
      <c r="B23" s="461">
        <f t="shared" ca="1" si="2"/>
        <v>8668.4740992049774</v>
      </c>
      <c r="C23" s="461">
        <f t="shared" ca="1" si="3"/>
        <v>1.4068241895840101</v>
      </c>
      <c r="D23" s="461">
        <f t="shared" ca="1" si="4"/>
        <v>9171.6232114771647</v>
      </c>
      <c r="E23" s="461">
        <f t="shared" si="5"/>
        <v>87.368013656598407</v>
      </c>
      <c r="F23" s="461">
        <f t="shared" ca="1" si="6"/>
        <v>2788.4073388494767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20717.279487377804</v>
      </c>
    </row>
    <row r="24" spans="1:17">
      <c r="A24" s="460" t="s">
        <v>194</v>
      </c>
      <c r="B24" s="461">
        <f t="shared" ca="1" si="2"/>
        <v>498.17117192450894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498.17117192450894</v>
      </c>
    </row>
    <row r="25" spans="1:17">
      <c r="A25" s="460" t="s">
        <v>112</v>
      </c>
      <c r="B25" s="461">
        <f t="shared" ca="1" si="2"/>
        <v>816.68380285534738</v>
      </c>
      <c r="C25" s="461">
        <f t="shared" ca="1" si="3"/>
        <v>3058.0338383871854</v>
      </c>
      <c r="D25" s="461">
        <f t="shared" si="4"/>
        <v>0</v>
      </c>
      <c r="E25" s="461">
        <f t="shared" si="5"/>
        <v>9.4355885088779381</v>
      </c>
      <c r="F25" s="461">
        <f t="shared" si="6"/>
        <v>3844.4467288455212</v>
      </c>
      <c r="G25" s="461">
        <f t="shared" si="7"/>
        <v>0</v>
      </c>
      <c r="H25" s="461">
        <f t="shared" si="8"/>
        <v>0</v>
      </c>
      <c r="I25" s="461">
        <f t="shared" si="9"/>
        <v>0</v>
      </c>
      <c r="J25" s="461">
        <f t="shared" si="10"/>
        <v>193.21969034901633</v>
      </c>
      <c r="K25" s="461">
        <f t="shared" si="11"/>
        <v>0</v>
      </c>
      <c r="L25" s="461">
        <f t="shared" si="12"/>
        <v>0</v>
      </c>
      <c r="M25" s="461">
        <f t="shared" si="13"/>
        <v>0</v>
      </c>
      <c r="N25" s="461">
        <f t="shared" si="14"/>
        <v>0</v>
      </c>
      <c r="O25" s="461">
        <f t="shared" si="15"/>
        <v>0</v>
      </c>
      <c r="P25" s="462">
        <f t="shared" si="16"/>
        <v>0</v>
      </c>
      <c r="Q25" s="460">
        <f t="shared" ca="1" si="17"/>
        <v>7921.8196489459488</v>
      </c>
    </row>
    <row r="26" spans="1:17">
      <c r="A26" s="460" t="s">
        <v>685</v>
      </c>
      <c r="B26" s="461">
        <f t="shared" ca="1" si="2"/>
        <v>16042.591580687804</v>
      </c>
      <c r="C26" s="461">
        <f t="shared" ca="1" si="3"/>
        <v>0</v>
      </c>
      <c r="D26" s="461">
        <f t="shared" si="4"/>
        <v>16123.166001093738</v>
      </c>
      <c r="E26" s="461">
        <f t="shared" si="5"/>
        <v>170.52437734595489</v>
      </c>
      <c r="F26" s="461">
        <f t="shared" si="6"/>
        <v>5385.2709646857147</v>
      </c>
      <c r="G26" s="461">
        <f t="shared" si="7"/>
        <v>0</v>
      </c>
      <c r="H26" s="461">
        <f t="shared" si="8"/>
        <v>0</v>
      </c>
      <c r="I26" s="461">
        <f t="shared" si="9"/>
        <v>0</v>
      </c>
      <c r="J26" s="461">
        <f t="shared" si="10"/>
        <v>41.924446351154543</v>
      </c>
      <c r="K26" s="461">
        <f t="shared" si="11"/>
        <v>0</v>
      </c>
      <c r="L26" s="461">
        <f t="shared" si="12"/>
        <v>0</v>
      </c>
      <c r="M26" s="461">
        <f t="shared" si="13"/>
        <v>0</v>
      </c>
      <c r="N26" s="461">
        <f t="shared" si="14"/>
        <v>0</v>
      </c>
      <c r="O26" s="461">
        <f t="shared" si="15"/>
        <v>0</v>
      </c>
      <c r="P26" s="462">
        <f t="shared" si="16"/>
        <v>0</v>
      </c>
      <c r="Q26" s="460">
        <f t="shared" ca="1" si="17"/>
        <v>37763.477370164372</v>
      </c>
    </row>
    <row r="27" spans="1:17" s="466" customFormat="1">
      <c r="A27" s="464" t="s">
        <v>579</v>
      </c>
      <c r="B27" s="772">
        <f t="shared" ca="1" si="2"/>
        <v>0.60268414578700347</v>
      </c>
      <c r="C27" s="465">
        <f t="shared" ca="1" si="3"/>
        <v>0</v>
      </c>
      <c r="D27" s="465">
        <f t="shared" si="4"/>
        <v>1.8693259003681149</v>
      </c>
      <c r="E27" s="465">
        <f t="shared" si="5"/>
        <v>121.24653496549193</v>
      </c>
      <c r="F27" s="465">
        <f t="shared" si="6"/>
        <v>0</v>
      </c>
      <c r="G27" s="465">
        <f t="shared" si="7"/>
        <v>31123.312836546123</v>
      </c>
      <c r="H27" s="465">
        <f t="shared" si="8"/>
        <v>5108.8263644748777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36355.857746032649</v>
      </c>
    </row>
    <row r="28" spans="1:17">
      <c r="A28" s="460" t="s">
        <v>569</v>
      </c>
      <c r="B28" s="461">
        <f t="shared" ca="1" si="2"/>
        <v>0</v>
      </c>
      <c r="C28" s="461">
        <f t="shared" ca="1" si="3"/>
        <v>0</v>
      </c>
      <c r="D28" s="461">
        <f t="shared" si="4"/>
        <v>0</v>
      </c>
      <c r="E28" s="461">
        <f t="shared" si="5"/>
        <v>0</v>
      </c>
      <c r="F28" s="461">
        <f t="shared" si="6"/>
        <v>0</v>
      </c>
      <c r="G28" s="461">
        <f t="shared" si="7"/>
        <v>581.67401016449617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581.67401016449617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397.38261417129712</v>
      </c>
      <c r="C32" s="461">
        <f t="shared" ca="1" si="3"/>
        <v>0</v>
      </c>
      <c r="D32" s="461">
        <f t="shared" si="4"/>
        <v>854.89440611492489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1252.2770202862221</v>
      </c>
    </row>
    <row r="33" spans="1:17" s="473" customFormat="1">
      <c r="A33" s="470" t="s">
        <v>573</v>
      </c>
      <c r="B33" s="471">
        <f ca="1">SUM(B22:B32)</f>
        <v>37433.925597122361</v>
      </c>
      <c r="C33" s="471">
        <f t="shared" ref="C33:Q33" ca="1" si="18">SUM(C22:C32)</f>
        <v>3059.4406625767692</v>
      </c>
      <c r="D33" s="471">
        <f t="shared" ca="1" si="18"/>
        <v>45026.942042471965</v>
      </c>
      <c r="E33" s="471">
        <f t="shared" si="18"/>
        <v>2979.8433005290626</v>
      </c>
      <c r="F33" s="471">
        <f t="shared" ca="1" si="18"/>
        <v>23340.845675367811</v>
      </c>
      <c r="G33" s="471">
        <f t="shared" si="18"/>
        <v>31704.986846710621</v>
      </c>
      <c r="H33" s="471">
        <f t="shared" si="18"/>
        <v>5108.8263644748777</v>
      </c>
      <c r="I33" s="471">
        <f t="shared" si="18"/>
        <v>0</v>
      </c>
      <c r="J33" s="471">
        <f t="shared" si="18"/>
        <v>790.35201444205484</v>
      </c>
      <c r="K33" s="471">
        <f t="shared" si="18"/>
        <v>0</v>
      </c>
      <c r="L33" s="471">
        <f t="shared" ca="1" si="18"/>
        <v>0</v>
      </c>
      <c r="M33" s="471">
        <f t="shared" si="18"/>
        <v>0</v>
      </c>
      <c r="N33" s="471">
        <f t="shared" ca="1" si="18"/>
        <v>0</v>
      </c>
      <c r="O33" s="471">
        <f t="shared" si="18"/>
        <v>0</v>
      </c>
      <c r="P33" s="471">
        <f t="shared" si="18"/>
        <v>0</v>
      </c>
      <c r="Q33" s="471">
        <f t="shared" ca="1" si="18"/>
        <v>149445.16250369552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8305.2369345994593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25231.578643073011</v>
      </c>
      <c r="C8" s="1037">
        <f>'SEAP template'!C76</f>
        <v>9008.921356926985</v>
      </c>
      <c r="D8" s="1037">
        <f>'SEAP template'!D76</f>
        <v>10598.539859945278</v>
      </c>
      <c r="E8" s="1037">
        <f>'SEAP template'!E76</f>
        <v>0</v>
      </c>
      <c r="F8" s="1037">
        <f>'SEAP template'!F76</f>
        <v>0</v>
      </c>
      <c r="G8" s="1037">
        <f>'SEAP template'!G76</f>
        <v>0</v>
      </c>
      <c r="H8" s="1037">
        <f>'SEAP template'!H76</f>
        <v>0</v>
      </c>
      <c r="I8" s="1037">
        <f>'SEAP template'!I76</f>
        <v>0</v>
      </c>
      <c r="J8" s="1037">
        <f>'SEAP template'!J76</f>
        <v>29683.674813337664</v>
      </c>
      <c r="K8" s="1037">
        <f>'SEAP template'!K76</f>
        <v>0</v>
      </c>
      <c r="L8" s="1037">
        <f>'SEAP template'!L76</f>
        <v>0</v>
      </c>
      <c r="M8" s="1037">
        <f>'SEAP template'!M76</f>
        <v>0</v>
      </c>
      <c r="N8" s="1037">
        <f>'SEAP template'!N76</f>
        <v>0</v>
      </c>
      <c r="O8" s="1037">
        <f>'SEAP template'!O76</f>
        <v>0</v>
      </c>
      <c r="P8" s="1038">
        <f>'SEAP template'!Q76</f>
        <v>2140.9050517089463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33536.815577672474</v>
      </c>
      <c r="C10" s="1041">
        <f>SUM(C4:C9)</f>
        <v>9008.921356926985</v>
      </c>
      <c r="D10" s="1041">
        <f t="shared" ref="D10:H10" si="0">SUM(D8:D9)</f>
        <v>10598.539859945278</v>
      </c>
      <c r="E10" s="1041">
        <f t="shared" si="0"/>
        <v>0</v>
      </c>
      <c r="F10" s="1041">
        <f t="shared" si="0"/>
        <v>0</v>
      </c>
      <c r="G10" s="1041">
        <f t="shared" si="0"/>
        <v>0</v>
      </c>
      <c r="H10" s="1041">
        <f t="shared" si="0"/>
        <v>0</v>
      </c>
      <c r="I10" s="1041">
        <f>SUM(I8:I9)</f>
        <v>0</v>
      </c>
      <c r="J10" s="1041">
        <f>SUM(J8:J9)</f>
        <v>29683.674813337664</v>
      </c>
      <c r="K10" s="1041">
        <f t="shared" ref="K10:L10" si="1">SUM(K8:K9)</f>
        <v>0</v>
      </c>
      <c r="L10" s="1041">
        <f t="shared" si="1"/>
        <v>0</v>
      </c>
      <c r="M10" s="1041">
        <f>SUM(M8:M9)</f>
        <v>0</v>
      </c>
      <c r="N10" s="1041">
        <f>SUM(N8:N9)</f>
        <v>0</v>
      </c>
      <c r="O10" s="1041">
        <f>SUM(O8:O9)</f>
        <v>0</v>
      </c>
      <c r="P10" s="1041">
        <f>SUM(P8:P9)</f>
        <v>2140.9050517089463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0.1850941099083129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36056.955267587298</v>
      </c>
      <c r="C17" s="1044">
        <f>'SEAP template'!C87</f>
        <v>12874.116160984126</v>
      </c>
      <c r="D17" s="1038">
        <f>'SEAP template'!D87</f>
        <v>15145.745854340441</v>
      </c>
      <c r="E17" s="1038">
        <f>'SEAP template'!E87</f>
        <v>0</v>
      </c>
      <c r="F17" s="1038">
        <f>'SEAP template'!F87</f>
        <v>0</v>
      </c>
      <c r="G17" s="1038">
        <f>'SEAP template'!G87</f>
        <v>0</v>
      </c>
      <c r="H17" s="1038">
        <f>'SEAP template'!H87</f>
        <v>0</v>
      </c>
      <c r="I17" s="1038">
        <f>'SEAP template'!I87</f>
        <v>0</v>
      </c>
      <c r="J17" s="1038">
        <f>'SEAP template'!J87</f>
        <v>42419.182329519492</v>
      </c>
      <c r="K17" s="1038">
        <f>'SEAP template'!K87</f>
        <v>0</v>
      </c>
      <c r="L17" s="1038">
        <f>'SEAP template'!L87</f>
        <v>0</v>
      </c>
      <c r="M17" s="1038">
        <f>'SEAP template'!M87</f>
        <v>0</v>
      </c>
      <c r="N17" s="1038">
        <f>'SEAP template'!N87</f>
        <v>0</v>
      </c>
      <c r="O17" s="1038">
        <f>'SEAP template'!O87</f>
        <v>0</v>
      </c>
      <c r="P17" s="1038">
        <f>'SEAP template'!Q87</f>
        <v>3059.4406625767692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36056.955267587298</v>
      </c>
      <c r="C20" s="1041">
        <f>SUM(C17:C19)</f>
        <v>12874.116160984126</v>
      </c>
      <c r="D20" s="1041">
        <f t="shared" ref="D20:H20" si="2">SUM(D17:D19)</f>
        <v>15145.745854340441</v>
      </c>
      <c r="E20" s="1041">
        <f t="shared" si="2"/>
        <v>0</v>
      </c>
      <c r="F20" s="1041">
        <f t="shared" si="2"/>
        <v>0</v>
      </c>
      <c r="G20" s="1041">
        <f t="shared" si="2"/>
        <v>0</v>
      </c>
      <c r="H20" s="1041">
        <f t="shared" si="2"/>
        <v>0</v>
      </c>
      <c r="I20" s="1041">
        <f>SUM(I17:I19)</f>
        <v>0</v>
      </c>
      <c r="J20" s="1041">
        <f>SUM(J17:J19)</f>
        <v>42419.182329519492</v>
      </c>
      <c r="K20" s="1041">
        <f t="shared" ref="K20:L20" si="3">SUM(K17:K19)</f>
        <v>0</v>
      </c>
      <c r="L20" s="1041">
        <f t="shared" si="3"/>
        <v>0</v>
      </c>
      <c r="M20" s="1041">
        <f>SUM(M17:M19)</f>
        <v>0</v>
      </c>
      <c r="N20" s="1041">
        <f>SUM(N17:N19)</f>
        <v>0</v>
      </c>
      <c r="O20" s="1041">
        <f>SUM(O17:O19)</f>
        <v>0</v>
      </c>
      <c r="P20" s="1041">
        <f>SUM(P17:P19)</f>
        <v>3059.4406625767692</v>
      </c>
    </row>
    <row r="22" spans="1:16">
      <c r="A22" s="474" t="s">
        <v>932</v>
      </c>
      <c r="B22" s="778" t="s">
        <v>926</v>
      </c>
      <c r="C22" s="778">
        <f ca="1">'EF ele_warmte'!B22</f>
        <v>6.2525519537067115E-2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0.1850941099083129</v>
      </c>
      <c r="C17" s="510">
        <f ca="1">'EF ele_warmte'!B22</f>
        <v>6.2525519537067115E-2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2019-08-12T07:55:33Z</dcterms:modified>
</cp:coreProperties>
</file>