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<sst xmlns="http://schemas.openxmlformats.org/spreadsheetml/2006/main" count="2486" uniqueCount="948">
  <si>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</si>
  <si>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</si>
  <si>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</si>
  <si>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</si>
  <si>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</si>
  <si>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</si>
  <si>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</si>
  <si>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</si>
  <si>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</si>
  <si>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</si>
  <si>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</si>
  <si>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</si>
  <si>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</si>
  <si>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</si>
  <si>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</si>
  <si>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</si>
  <si>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</si>
  <si>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</si>
  <si>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</si>
  <si>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</si>
  <si>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</si>
  <si>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</si>
  <si>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</si>
  <si>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</si>
  <si>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</si>
  <si>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</si>
  <si>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</si>
  <si>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</si>
  <si>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</si>
  <si>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</si>
  <si>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</si>
  <si>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</si>
  <si>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</si>
  <si>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</si>
  <si>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</si>
  <si>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</si>
  <si>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</si>
  <si>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</si>
  <si>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</si>
  <si>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</si>
  <si>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</si>
  <si>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</si>
  <si>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</si>
  <si>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</si>
  <si>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</si>
  <si>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</si>
  <si>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</si>
  <si>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</si>
  <si>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</si>
  <si>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</si>
  <si>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</si>
  <si>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</si>
  <si>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</si>
  <si>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</si>
  <si>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</si>
  <si>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</si>
  <si>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</si>
  <si>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</si>
  <si>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</si>
  <si>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</si>
  <si>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</si>
  <si>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</si>
  <si>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</si>
  <si>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</si>
  <si>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</si>
  <si>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</si>
  <si>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</si>
  <si>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</si>
  <si>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</si>
  <si>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</si>
  <si>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</si>
  <si>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</si>
  <si>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</si>
  <si>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</si>
  <si>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</si>
  <si>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</si>
  <si>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</si>
  <si>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</si>
  <si>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</si>
  <si>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</si>
  <si>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</si>
  <si>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</si>
  <si>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</si>
  <si>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</si>
  <si>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</si>
  <si>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</si>
  <si>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</si>
  <si>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</si>
  <si>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</si>
  <si>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</si>
  <si>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</si>
  <si>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</si>
  <si>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</si>
  <si>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</si>
  <si>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</si>
  <si>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</si>
  <si>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</si>
  <si>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</si>
  <si>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</si>
  <si>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</si>
  <si>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</si>
  <si>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</si>
  <si>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</si>
  <si>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</si>
  <si>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</si>
  <si>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</si>
  <si>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</si>
  <si>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</si>
  <si>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</si>
  <si>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</si>
  <si>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</si>
  <si>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</si>
  <si>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</si>
  <si>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</si>
  <si>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</si>
  <si>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</si>
  <si>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</si>
  <si>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</si>
  <si>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</si>
  <si>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</si>
  <si>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</si>
  <si>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</si>
  <si>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</si>
  <si>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</si>
  <si>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</si>
  <si>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</si>
  <si>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</si>
  <si>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</si>
  <si>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</si>
  <si>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</si>
  <si>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</si>
  <si>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</si>
  <si>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</si>
  <si>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</si>
  <si>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</si>
  <si>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</si>
  <si>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</si>
  <si>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</si>
  <si>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</si>
  <si>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</si>
  <si>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</si>
  <si>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</si>
  <si>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</si>
  <si>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</si>
  <si>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</si>
  <si>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</si>
  <si>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</si>
  <si>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</si>
  <si>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</si>
  <si>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</si>
  <si>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</si>
  <si>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</si>
  <si>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</si>
  <si>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</si>
  <si>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</si>
  <si>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</si>
  <si>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</si>
  <si>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</si>
  <si>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</si>
  <si>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</si>
  <si>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</si>
  <si>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</si>
  <si>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</si>
  <si>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</si>
  <si>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</si>
  <si>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</si>
  <si>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</si>
  <si>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</si>
  <si>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</si>
  <si>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</si>
  <si>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</si>
  <si>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</si>
  <si>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</si>
  <si>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</si>
  <si>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</si>
  <si>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</si>
  <si>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</si>
  <si>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</si>
  <si>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</si>
  <si>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</si>
  <si>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</si>
  <si>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</si>
  <si>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</si>
  <si>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</si>
  <si>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</si>
  <si>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</si>
  <si>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</si>
  <si>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</si>
  <si>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</si>
  <si>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</si>
  <si>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</si>
  <si>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</si>
  <si>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</si>
  <si>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</si>
  <si>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</si>
  <si>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</si>
  <si>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</si>
  <si>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</si>
  <si>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</si>
  <si>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</si>
  <si>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</si>
  <si>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</si>
  <si>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</si>
  <si>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</si>
  <si>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</si>
  <si>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</si>
  <si>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</si>
  <si>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</si>
  <si>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</si>
  <si>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</si>
  <si>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</si>
  <si>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</si>
  <si>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</si>
  <si>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</si>
  <si>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</si>
  <si>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</si>
  <si>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</si>
  <si>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</si>
  <si>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</si>
  <si>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</si>
  <si>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</si>
  <si>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</si>
  <si>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</si>
  <si>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</si>
  <si>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</si>
  <si>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</si>
  <si>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</si>
  <si>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</si>
  <si>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</si>
  <si>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</si>
  <si>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</si>
  <si>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</si>
  <si>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</si>
  <si>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</si>
  <si>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</si>
  <si>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</si>
  <si>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</si>
  <si>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</si>
  <si>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</si>
  <si>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</si>
  <si>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</si>
  <si>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</si>
  <si>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</si>
  <si>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</si>
  <si>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</si>
  <si>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</si>
  <si>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</si>
  <si>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</si>
  <si>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</si>
  <si>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</si>
  <si>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</si>
  <si>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</si>
  <si>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</si>
  <si>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</si>
  <si>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</si>
  <si>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</si>
  <si>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</si>
  <si>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</si>
  <si>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</si>
  <si>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</si>
  <si>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</si>
  <si>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</si>
  <si>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</si>
  <si>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</si>
  <si>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</si>
  <si>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</si>
  <si>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</si>
  <si>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</si>
  <si>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</si>
  <si>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</si>
  <si>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</si>
  <si>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</si>
  <si>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</si>
  <si>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</si>
  <si>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</si>
  <si>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</si>
  <si>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</si>
  <si>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</si>
  <si>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</si>
  <si>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</si>
  <si>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</si>
  <si>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</si>
  <si>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</si>
  <si>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</si>
  <si>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</si>
  <si>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</si>
  <si>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</si>
  <si>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</si>
  <si>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</si>
  <si>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</si>
  <si>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</si>
  <si>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</si>
  <si>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</si>
  <si>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</si>
  <si>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</si>
  <si>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</si>
  <si>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</si>
  <si>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</si>
  <si>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</si>
  <si>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</si>
  <si>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</si>
  <si>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</si>
  <si>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</si>
  <si>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</si>
  <si>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</si>
  <si>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</si>
  <si>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</si>
  <si>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</si>
  <si>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</si>
  <si>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</si>
  <si>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</si>
  <si>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</si>
  <si>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</si>
  <si>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</si>
  <si>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</si>
  <si>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</si>
  <si>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</si>
  <si>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</si>
  <si>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</si>
  <si>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</si>
  <si>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</si>
  <si>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</si>
  <si>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</si>
  <si>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</si>
  <si>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</si>
  <si>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</si>
  <si>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</si>
  <si>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</si>
  <si>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</si>
  <si>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</si>
  <si>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</si>
  <si>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</si>
  <si>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</si>
  <si>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</si>
  <si>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</si>
  <si>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</si>
  <si>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</si>
  <si>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</si>
  <si>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</si>
  <si>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</si>
  <si>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</si>
  <si>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</si>
  <si>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</si>
  <si>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</si>
  <si>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</si>
  <si>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</si>
  <si>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</si>
  <si>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</si>
  <si>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</si>
  <si>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</si>
  <si>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</si>
  <si>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</si>
  <si>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</si>
  <si>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</si>
  <si>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</si>
  <si>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</si>
  <si>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</si>
  <si>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</si>
  <si>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</si>
  <si>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</si>
  <si>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</si>
  <si>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</si>
  <si>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</si>
  <si>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</si>
  <si>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</si>
  <si>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</si>
  <si>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</si>
  <si>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</si>
  <si>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</si>
  <si>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</si>
  <si>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</si>
  <si>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</si>
  <si>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</si>
  <si>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</si>
  <si>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</si>
  <si>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</si>
  <si>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</si>
  <si>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</si>
  <si>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</si>
  <si>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</si>
  <si>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</si>
  <si>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</si>
  <si>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</si>
  <si>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</si>
  <si>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</si>
  <si>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</si>
  <si>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</si>
  <si>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</si>
  <si>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</si>
  <si>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</si>
  <si>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</si>
  <si>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</si>
  <si>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</si>
  <si>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</si>
  <si>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</si>
  <si>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</si>
  <si>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</si>
  <si>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</si>
  <si>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</si>
  <si>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</si>
  <si>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</si>
  <si>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</si>
  <si>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</si>
  <si>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</si>
  <si>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</si>
  <si>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</si>
  <si>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</si>
  <si>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</si>
  <si>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</si>
  <si>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</si>
  <si>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</si>
  <si>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</si>
  <si>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</si>
  <si>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</si>
  <si>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</si>
  <si>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</si>
  <si>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</si>
  <si>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</si>
  <si>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</si>
  <si>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</si>
  <si>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</si>
  <si>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</si>
  <si>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</si>
  <si>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</si>
  <si>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</si>
  <si>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</si>
  <si>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</si>
  <si>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</si>
  <si>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</si>
  <si>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</si>
  <si>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</si>
  <si>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</si>
  <si>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</si>
  <si>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</si>
  <si>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</si>
  <si>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</si>
  <si>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</si>
  <si>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</si>
  <si>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</si>
  <si>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</si>
  <si>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</si>
  <si>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</si>
  <si>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</si>
  <si>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</si>
  <si>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</si>
  <si>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</si>
  <si>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</si>
  <si>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</si>
  <si>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</si>
  <si>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</si>
  <si>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</si>
  <si>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</si>
  <si>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</si>
  <si>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</si>
  <si>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</si>
  <si>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</si>
  <si>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</si>
  <si>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</si>
  <si>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</si>
  <si>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</si>
  <si>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</si>
  <si>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</si>
  <si>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</si>
  <si>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</si>
  <si>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</si>
  <si>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</si>
  <si>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</si>
  <si>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</si>
  <si>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</si>
  <si>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</si>
  <si>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</si>
  <si>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</si>
  <si>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</si>
  <si>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</si>
  <si>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</si>
  <si>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</si>
  <si>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</si>
  <si>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</si>
  <si>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</si>
  <si>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</si>
  <si>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</si>
  <si>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</si>
  <si>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</si>
  <si>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</si>
  <si>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</si>
  <si>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</si>
  <si>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</si>
  <si>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</si>
  <si>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</si>
  <si>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</si>
  <si>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</si>
  <si>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</si>
  <si>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</si>
  <si>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</si>
  <si>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</si>
  <si>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</si>
  <si>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</si>
  <si>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</si>
  <si>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</si>
  <si>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</si>
  <si>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</si>
  <si>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</si>
  <si>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</si>
  <si>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</si>
  <si>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</si>
  <si>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</si>
  <si>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</si>
  <si>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</si>
  <si>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</si>
  <si>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</si>
  <si>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</si>
  <si>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</si>
  <si>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</si>
  <si>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</si>
  <si>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</si>
  <si>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</si>
  <si>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</si>
  <si>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</si>
  <si>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</si>
  <si>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</si>
  <si>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</si>
  <si>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</si>
  <si>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</si>
  <si>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</si>
  <si>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</si>
  <si>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</si>
  <si>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</si>
  <si>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</si>
  <si>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</si>
  <si>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</si>
  <si>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</si>
  <si>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</si>
  <si>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</si>
  <si>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</si>
  <si>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</si>
  <si>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</si>
  <si>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</si>
  <si>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</si>
  <si>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</si>
  <si>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</si>
  <si>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</si>
  <si>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</si>
  <si>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</si>
  <si>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</si>
  <si>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</si>
  <si>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</si>
  <si>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</si>
  <si>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</si>
  <si>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</si>
  <si>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</si>
  <si>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</si>
  <si>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</si>
  <si>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</si>
  <si>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</si>
  <si>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</si>
  <si>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</si>
  <si>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</si>
  <si>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</si>
  <si>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</si>
  <si>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</si>
  <si>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</si>
  <si>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</si>
  <si>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</si>
  <si>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</si>
  <si>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</si>
  <si>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</si>
  <si>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</si>
  <si>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</si>
  <si>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</si>
  <si>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</si>
  <si>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</si>
  <si>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</si>
  <si>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</si>
  <si>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</si>
  <si>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</si>
  <si>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</si>
  <si>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</si>
  <si>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</si>
  <si>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</si>
  <si>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</si>
  <si>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</si>
  <si>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</si>
  <si>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</si>
  <si>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</si>
  <si>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</si>
  <si>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</si>
  <si>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</si>
  <si>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</si>
  <si>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</si>
  <si>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</si>
  <si>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</si>
  <si>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</si>
  <si>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</si>
  <si>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</si>
  <si>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</si>
  <si>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</si>
  <si>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</si>
  <si>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</si>
  <si>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</si>
  <si>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</si>
  <si>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</si>
  <si>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</si>
  <si>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</si>
  <si>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</si>
  <si>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</si>
  <si>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</si>
  <si>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</si>
  <si>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</si>
  <si>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</si>
  <si>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</si>
  <si>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</si>
  <si>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</si>
  <si>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</si>
  <si>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</si>
  <si>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</si>
  <si>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</si>
  <si>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</si>
  <si>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</si>
  <si>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</si>
  <si>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</si>
  <si>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</si>
  <si>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</si>
  <si>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</si>
  <si>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</si>
  <si>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</si>
  <si>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</si>
  <si>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</si>
  <si>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</si>
  <si>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</si>
  <si>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</si>
  <si>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</si>
  <si>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</si>
  <si>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</si>
  <si>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</si>
  <si>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</si>
  <si>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</si>
  <si>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</si>
  <si>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</si>
  <si>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</si>
  <si>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</si>
  <si>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</si>
  <si>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</si>
  <si>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</si>
  <si>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</si>
  <si>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</si>
  <si>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</si>
  <si>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</si>
  <si>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</si>
  <si>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</si>
  <si>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</si>
  <si>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</si>
  <si>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</si>
  <si>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</si>
  <si>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</si>
  <si>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</si>
  <si>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</si>
  <si>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</si>
  <si>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</si>
  <si>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</si>
  <si>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</si>
  <si>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</si>
  <si>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</si>
  <si>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</si>
  <si>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</si>
  <si>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</si>
  <si>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</si>
  <si>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</si>
  <si>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</si>
  <si>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</si>
  <si>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</si>
  <si>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</si>
  <si>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</si>
  <si>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</si>
  <si>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</si>
  <si>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</si>
  <si>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</si>
  <si>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</si>
  <si>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</si>
  <si>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</si>
  <si>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</si>
  <si>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</si>
  <si>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</si>
  <si>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</si>
  <si>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</si>
  <si>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</si>
  <si>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</si>
  <si>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</si>
  <si>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</si>
  <si>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</si>
  <si>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</si>
  <si>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</si>
  <si>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</si>
  <si>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</si>
  <si>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</si>
  <si>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</si>
  <si>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</si>
  <si>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</si>
  <si>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</si>
  <si>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</si>
  <si>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</si>
  <si>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</si>
  <si>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</si>
  <si>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</si>
  <si>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</si>
  <si>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</si>
  <si>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</si>
  <si>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</si>
  <si>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</si>
  <si>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</si>
  <si>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</si>
  <si>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</si>
  <si>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</si>
  <si>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</si>
  <si>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</si>
  <si>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</si>
  <si>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</si>
  <si>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</si>
  <si>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</si>
  <si>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</si>
  <si>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</si>
  <si>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</si>
  <si>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</si>
  <si>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</si>
  <si>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</si>
  <si>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</si>
  <si>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</si>
  <si>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</si>
  <si>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</si>
  <si>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</si>
  <si>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</si>
  <si>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</si>
  <si>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</si>
  <si>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</si>
  <si>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</si>
  <si>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</si>
  <si>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</si>
  <si>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</si>
  <si>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</si>
  <si>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</si>
  <si>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</si>
  <si>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</si>
  <si>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</si>
  <si>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</si>
  <si>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</si>
  <si>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</si>
  <si>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</si>
  <si>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</si>
  <si>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</si>
  <si>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</si>
  <si>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</si>
  <si>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</si>
  <si>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</si>
  <si>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</si>
  <si>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</si>
  <si>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</si>
  <si>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</si>
  <si>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</si>
  <si>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</si>
  <si>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</si>
  <si>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</si>
  <si>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</si>
  <si>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</si>
  <si>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</si>
  <si>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</si>
  <si>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</si>
  <si>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</si>
  <si>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</si>
  <si>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</si>
  <si>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</si>
  <si>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</si>
  <si>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</si>
  <si>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</si>
  <si>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</si>
  <si>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</si>
  <si>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</si>
  <si>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</si>
  <si>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</si>
  <si>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</si>
  <si>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</si>
  <si>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</si>
  <si>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</si>
  <si>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</si>
  <si>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</si>
  <si>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</si>
  <si>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</si>
  <si>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</si>
  <si>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</si>
  <si>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</si>
  <si>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</si>
  <si>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</si>
  <si>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</si>
  <si>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</si>
  <si>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</si>
  <si>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</si>
  <si>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</si>
  <si>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</si>
  <si>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</si>
  <si>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</si>
  <si>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</si>
  <si>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</si>
  <si>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</si>
  <si>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</si>
  <si>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</si>
  <si>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</si>
  <si>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</si>
  <si>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</si>
  <si>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</si>
  <si>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</si>
  <si>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</si>
  <si>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</si>
  <si>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</si>
  <si>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</si>
  <si>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</si>
  <si>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</si>
  <si>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</si>
  <si>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</si>
  <si>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</si>
  <si>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</si>
  <si>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</si>
  <si>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</si>
  <si>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</si>
  <si>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</si>
  <si>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</si>
  <si>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</si>
  <si>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</si>
  <si>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</si>
  <si>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</si>
  <si>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</si>
  <si>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</si>
  <si>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</si>
  <si>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</si>
  <si>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</si>
  <si>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</si>
  <si>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</si>
  <si>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</si>
  <si>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</si>
  <si>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</si>
  <si>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</si>
  <si>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</si>
  <si>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</si>
  <si>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</si>
  <si>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</si>
  <si>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</si>
  <si>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</si>
  <si>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</si>
  <si>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</si>
  <si>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</si>
  <si>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</si>
  <si>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</si>
  <si>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</si>
  <si>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</si>
  <si>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</si>
  <si>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</si>
  <si>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</si>
  <si>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</si>
  <si>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</si>
  <si>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</si>
  <si>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</si>
  <si>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</si>
  <si>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</si>
  <si>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</si>
  <si>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</si>
  <si>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</si>
  <si>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</si>
  <si>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</si>
  <si>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</si>
  <si>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</si>
  <si>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</si>
  <si>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</si>
  <si>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</si>
  <si>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</si>
  <si>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</si>
  <si>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</si>
  <si>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</si>
  <si>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</si>
  <si>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</si>
  <si>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</si>
  <si>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</si>
  <si>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</si>
  <si>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</si>
  <si>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</si>
  <si>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</si>
  <si>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</si>
  <si>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</si>
  <si>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</si>
  <si>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</si>
  <si>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</si>
  <si>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</si>
  <si>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</si>
  <si>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</si>
  <si>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</si>
  <si>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</si>
  <si>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</si>
  <si>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</si>
  <si>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</si>
  <si>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</si>
  <si>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</si>
  <si>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</si>
  <si>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</si>
  <si>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</si>
  <si>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</si>
  <si>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</si>
  <si>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</si>
  <si>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</si>
  <si>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</si>
  <si>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</si>
  <si>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</si>
  <si>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</si>
  <si>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</si>
  <si>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</si>
  <si>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</si>
  <si>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</si>
  <si>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</si>
  <si>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</si>
  <si>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</si>
  <si>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</si>
  <si>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</si>
  <si>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</si>
  <si>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</si>
  <si>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</si>
  <si>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</si>
  <si>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</si>
  <si>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</si>
  <si>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</si>
  <si>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</si>
  <si>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</si>
  <si>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</si>
  <si>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</si>
  <si>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</si>
  <si>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</si>
  <si>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</si>
  <si>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</si>
  <si>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</si>
  <si>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</si>
  <si>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</si>
  <si>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</si>
  <si>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</si>
  <si>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</si>
  <si>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</si>
  <si>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</si>
  <si>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</si>
  <si>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</si>
  <si>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43018</t>
  </si>
  <si>
    <t>ZELZATE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</si>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</sst>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43018</v>
      </c>
      <c r="B6" s="397"/>
      <c r="C6" s="398"/>
    </row>
    <row r="7" spans="1:7" s="395" customFormat="1" ht="15.75" customHeight="1">
      <c r="A7" s="399" t="str">
        <f>txtMunicipality</f>
        <v>ZELZATE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18296.439999999999</v>
      </c>
      <c r="D10" s="688">
        <f ca="1">tertiair!C16</f>
        <v>0</v>
      </c>
      <c r="E10" s="688">
        <f ca="1">tertiair!D16</f>
        <v>24786.587473999996</v>
      </c>
      <c r="F10" s="688">
        <f>tertiair!E16</f>
        <v>107.43549101872212</v>
      </c>
      <c r="G10" s="688">
        <f ca="1">tertiair!F16</f>
        <v>3700.0026197201319</v>
      </c>
      <c r="H10" s="688">
        <f>tertiair!G16</f>
        <v>0</v>
      </c>
      <c r="I10" s="688">
        <f>tertiair!H16</f>
        <v>0</v>
      </c>
      <c r="J10" s="688">
        <f>tertiair!I16</f>
        <v>0</v>
      </c>
      <c r="K10" s="688">
        <f>tertiair!J16</f>
        <v>0</v>
      </c>
      <c r="L10" s="688">
        <f>tertiair!K16</f>
        <v>0</v>
      </c>
      <c r="M10" s="688">
        <f ca="1">tertiair!L16</f>
        <v>0</v>
      </c>
      <c r="N10" s="688">
        <f>tertiair!M16</f>
        <v>0</v>
      </c>
      <c r="O10" s="688">
        <f ca="1">tertiair!N16</f>
        <v>1151.5416429151824</v>
      </c>
      <c r="P10" s="688">
        <f>tertiair!O16</f>
        <v>0</v>
      </c>
      <c r="Q10" s="689">
        <f>tertiair!P16</f>
        <v>0</v>
      </c>
      <c r="R10" s="691">
        <f ca="1">SUM(C10:Q10)</f>
        <v>48042.00722765403</v>
      </c>
      <c r="S10" s="68"/>
    </row>
    <row r="11" spans="1:19" s="457" customFormat="1">
      <c r="A11" s="803" t="s">
        <v>225</v>
      </c>
      <c r="B11" s="808"/>
      <c r="C11" s="688">
        <f>huishoudens!B8</f>
        <v>22507.865038504617</v>
      </c>
      <c r="D11" s="688">
        <f>huishoudens!C8</f>
        <v>0</v>
      </c>
      <c r="E11" s="688">
        <f>huishoudens!D8</f>
        <v>48247.915957999998</v>
      </c>
      <c r="F11" s="688">
        <f>huishoudens!E8</f>
        <v>1376.828169790276</v>
      </c>
      <c r="G11" s="688">
        <f>huishoudens!F8</f>
        <v>24483.378484436871</v>
      </c>
      <c r="H11" s="688">
        <f>huishoudens!G8</f>
        <v>0</v>
      </c>
      <c r="I11" s="688">
        <f>huishoudens!H8</f>
        <v>0</v>
      </c>
      <c r="J11" s="688">
        <f>huishoudens!I8</f>
        <v>0</v>
      </c>
      <c r="K11" s="688">
        <f>huishoudens!J8</f>
        <v>1031.9145154633793</v>
      </c>
      <c r="L11" s="688">
        <f>huishoudens!K8</f>
        <v>0</v>
      </c>
      <c r="M11" s="688">
        <f>huishoudens!L8</f>
        <v>0</v>
      </c>
      <c r="N11" s="688">
        <f>huishoudens!M8</f>
        <v>0</v>
      </c>
      <c r="O11" s="688">
        <f>huishoudens!N8</f>
        <v>3632.9376735128171</v>
      </c>
      <c r="P11" s="688">
        <f>huishoudens!O8</f>
        <v>20.323333333333334</v>
      </c>
      <c r="Q11" s="689">
        <f>huishoudens!P8</f>
        <v>19.066666666666666</v>
      </c>
      <c r="R11" s="691">
        <f>SUM(C11:Q11)</f>
        <v>101320.22983970794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30744.238000000001</v>
      </c>
      <c r="D13" s="688">
        <f>industrie!C18</f>
        <v>0</v>
      </c>
      <c r="E13" s="688">
        <f>industrie!D18</f>
        <v>142767.95475799998</v>
      </c>
      <c r="F13" s="688">
        <f>industrie!E18</f>
        <v>277.28520748491837</v>
      </c>
      <c r="G13" s="688">
        <f>industrie!F18</f>
        <v>6355.6188570494496</v>
      </c>
      <c r="H13" s="688">
        <f>industrie!G18</f>
        <v>0</v>
      </c>
      <c r="I13" s="688">
        <f>industrie!H18</f>
        <v>0</v>
      </c>
      <c r="J13" s="688">
        <f>industrie!I18</f>
        <v>0</v>
      </c>
      <c r="K13" s="688">
        <f>industrie!J18</f>
        <v>149.36445483172355</v>
      </c>
      <c r="L13" s="688">
        <f>industrie!K18</f>
        <v>0</v>
      </c>
      <c r="M13" s="688">
        <f>industrie!L18</f>
        <v>0</v>
      </c>
      <c r="N13" s="688">
        <f>industrie!M18</f>
        <v>0</v>
      </c>
      <c r="O13" s="688">
        <f>industrie!N18</f>
        <v>987.11694385205055</v>
      </c>
      <c r="P13" s="688">
        <f>industrie!O18</f>
        <v>0</v>
      </c>
      <c r="Q13" s="689">
        <f>industrie!P18</f>
        <v>0</v>
      </c>
      <c r="R13" s="691">
        <f>SUM(C13:Q13)</f>
        <v>181281.57822121811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71548.54303850462</v>
      </c>
      <c r="D16" s="721">
        <f t="shared" ref="D16:R16" ca="1" si="0">SUM(D9:D15)</f>
        <v>0</v>
      </c>
      <c r="E16" s="721">
        <f t="shared" ca="1" si="0"/>
        <v>215802.45818999998</v>
      </c>
      <c r="F16" s="721">
        <f t="shared" si="0"/>
        <v>1761.5488682939165</v>
      </c>
      <c r="G16" s="721">
        <f t="shared" ca="1" si="0"/>
        <v>34538.999961206457</v>
      </c>
      <c r="H16" s="721">
        <f t="shared" si="0"/>
        <v>0</v>
      </c>
      <c r="I16" s="721">
        <f t="shared" si="0"/>
        <v>0</v>
      </c>
      <c r="J16" s="721">
        <f t="shared" si="0"/>
        <v>0</v>
      </c>
      <c r="K16" s="721">
        <f t="shared" si="0"/>
        <v>1181.2789702951029</v>
      </c>
      <c r="L16" s="721">
        <f t="shared" si="0"/>
        <v>0</v>
      </c>
      <c r="M16" s="721">
        <f t="shared" ca="1" si="0"/>
        <v>0</v>
      </c>
      <c r="N16" s="721">
        <f t="shared" si="0"/>
        <v>0</v>
      </c>
      <c r="O16" s="721">
        <f t="shared" ca="1" si="0"/>
        <v>5771.59626028005</v>
      </c>
      <c r="P16" s="721">
        <f t="shared" si="0"/>
        <v>20.323333333333334</v>
      </c>
      <c r="Q16" s="721">
        <f t="shared" si="0"/>
        <v>19.066666666666666</v>
      </c>
      <c r="R16" s="721">
        <f t="shared" ca="1" si="0"/>
        <v>330643.81528858008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627.88077907282798</v>
      </c>
      <c r="I19" s="688">
        <f>transport!H54</f>
        <v>0</v>
      </c>
      <c r="J19" s="688">
        <f>transport!I54</f>
        <v>0</v>
      </c>
      <c r="K19" s="688">
        <f>transport!J54</f>
        <v>0</v>
      </c>
      <c r="L19" s="688">
        <f>transport!K54</f>
        <v>0</v>
      </c>
      <c r="M19" s="688">
        <f>transport!L54</f>
        <v>0</v>
      </c>
      <c r="N19" s="688">
        <f>transport!M54</f>
        <v>27.571280763220503</v>
      </c>
      <c r="O19" s="688">
        <f>transport!N54</f>
        <v>0</v>
      </c>
      <c r="P19" s="688">
        <f>transport!O54</f>
        <v>0</v>
      </c>
      <c r="Q19" s="689">
        <f>transport!P54</f>
        <v>0</v>
      </c>
      <c r="R19" s="691">
        <f>SUM(C19:Q19)</f>
        <v>655.45205983604853</v>
      </c>
      <c r="S19" s="68"/>
    </row>
    <row r="20" spans="1:19" s="457" customFormat="1">
      <c r="A20" s="803" t="s">
        <v>307</v>
      </c>
      <c r="B20" s="808"/>
      <c r="C20" s="688">
        <f>transport!B14</f>
        <v>1.9500008398645388</v>
      </c>
      <c r="D20" s="688">
        <f>transport!C14</f>
        <v>0</v>
      </c>
      <c r="E20" s="688">
        <f>transport!D14</f>
        <v>5.1704424004433074</v>
      </c>
      <c r="F20" s="688">
        <f>transport!E14</f>
        <v>335.63264654089272</v>
      </c>
      <c r="G20" s="688">
        <f>transport!F14</f>
        <v>0</v>
      </c>
      <c r="H20" s="688">
        <f>transport!G14</f>
        <v>84132.474083943642</v>
      </c>
      <c r="I20" s="688">
        <f>transport!H14</f>
        <v>11834.499823367827</v>
      </c>
      <c r="J20" s="688">
        <f>transport!I14</f>
        <v>0</v>
      </c>
      <c r="K20" s="688">
        <f>transport!J14</f>
        <v>0</v>
      </c>
      <c r="L20" s="688">
        <f>transport!K14</f>
        <v>0</v>
      </c>
      <c r="M20" s="688">
        <f>transport!L14</f>
        <v>0</v>
      </c>
      <c r="N20" s="688">
        <f>transport!M14</f>
        <v>4287.8105356167016</v>
      </c>
      <c r="O20" s="688">
        <f>transport!N14</f>
        <v>0</v>
      </c>
      <c r="P20" s="688">
        <f>transport!O14</f>
        <v>0</v>
      </c>
      <c r="Q20" s="689">
        <f>transport!P14</f>
        <v>0</v>
      </c>
      <c r="R20" s="691">
        <f>SUM(C20:Q20)</f>
        <v>100597.53753270936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1.9500008398645388</v>
      </c>
      <c r="D22" s="806">
        <f t="shared" ref="D22:R22" si="1">SUM(D18:D21)</f>
        <v>0</v>
      </c>
      <c r="E22" s="806">
        <f t="shared" si="1"/>
        <v>5.1704424004433074</v>
      </c>
      <c r="F22" s="806">
        <f t="shared" si="1"/>
        <v>335.63264654089272</v>
      </c>
      <c r="G22" s="806">
        <f t="shared" si="1"/>
        <v>0</v>
      </c>
      <c r="H22" s="806">
        <f t="shared" si="1"/>
        <v>84760.354863016473</v>
      </c>
      <c r="I22" s="806">
        <f t="shared" si="1"/>
        <v>11834.499823367827</v>
      </c>
      <c r="J22" s="806">
        <f t="shared" si="1"/>
        <v>0</v>
      </c>
      <c r="K22" s="806">
        <f t="shared" si="1"/>
        <v>0</v>
      </c>
      <c r="L22" s="806">
        <f t="shared" si="1"/>
        <v>0</v>
      </c>
      <c r="M22" s="806">
        <f t="shared" si="1"/>
        <v>0</v>
      </c>
      <c r="N22" s="806">
        <f t="shared" si="1"/>
        <v>4315.3818163799224</v>
      </c>
      <c r="O22" s="806">
        <f t="shared" si="1"/>
        <v>0</v>
      </c>
      <c r="P22" s="806">
        <f t="shared" si="1"/>
        <v>0</v>
      </c>
      <c r="Q22" s="806">
        <f t="shared" si="1"/>
        <v>0</v>
      </c>
      <c r="R22" s="806">
        <f t="shared" si="1"/>
        <v>101252.98959254542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237.09100000000001</v>
      </c>
      <c r="D24" s="688">
        <f>+landbouw!C8</f>
        <v>0</v>
      </c>
      <c r="E24" s="688">
        <f>+landbouw!D8</f>
        <v>103.398966</v>
      </c>
      <c r="F24" s="688">
        <f>+landbouw!E8</f>
        <v>2.2335560761809745</v>
      </c>
      <c r="G24" s="688">
        <f>+landbouw!F8</f>
        <v>773.70661659265011</v>
      </c>
      <c r="H24" s="688">
        <f>+landbouw!G8</f>
        <v>0</v>
      </c>
      <c r="I24" s="688">
        <f>+landbouw!H8</f>
        <v>0</v>
      </c>
      <c r="J24" s="688">
        <f>+landbouw!I8</f>
        <v>0</v>
      </c>
      <c r="K24" s="688">
        <f>+landbouw!J8</f>
        <v>29.329309910402475</v>
      </c>
      <c r="L24" s="688">
        <f>+landbouw!K8</f>
        <v>0</v>
      </c>
      <c r="M24" s="688">
        <f>+landbouw!L8</f>
        <v>0</v>
      </c>
      <c r="N24" s="688">
        <f>+landbouw!M8</f>
        <v>0</v>
      </c>
      <c r="O24" s="688">
        <f>+landbouw!N8</f>
        <v>0</v>
      </c>
      <c r="P24" s="688">
        <f>+landbouw!O8</f>
        <v>0</v>
      </c>
      <c r="Q24" s="689">
        <f>+landbouw!P8</f>
        <v>0</v>
      </c>
      <c r="R24" s="691">
        <f>SUM(C24:Q24)</f>
        <v>1145.7594485792338</v>
      </c>
      <c r="S24" s="68"/>
    </row>
    <row r="25" spans="1:19" s="457" customFormat="1" ht="15" thickBot="1">
      <c r="A25" s="825" t="s">
        <v>912</v>
      </c>
      <c r="B25" s="1001"/>
      <c r="C25" s="1002">
        <f>IF(Onbekend_ele_kWh="---",0,Onbekend_ele_kWh)/1000+IF(REST_rest_ele_kWh="---",0,REST_rest_ele_kWh)/1000</f>
        <v>494.32900000000001</v>
      </c>
      <c r="D25" s="1002"/>
      <c r="E25" s="1002">
        <f>IF(onbekend_gas_kWh="---",0,onbekend_gas_kWh)/1000+IF(REST_rest_gas_kWh="---",0,REST_rest_gas_kWh)/1000</f>
        <v>1801.2329999999999</v>
      </c>
      <c r="F25" s="1002"/>
      <c r="G25" s="1002"/>
      <c r="H25" s="1002"/>
      <c r="I25" s="1002"/>
      <c r="J25" s="1002"/>
      <c r="K25" s="1002"/>
      <c r="L25" s="1002"/>
      <c r="M25" s="1002"/>
      <c r="N25" s="1002"/>
      <c r="O25" s="1002"/>
      <c r="P25" s="1002"/>
      <c r="Q25" s="1003"/>
      <c r="R25" s="691">
        <f>SUM(C25:Q25)</f>
        <v>2295.5619999999999</v>
      </c>
      <c r="S25" s="68"/>
    </row>
    <row r="26" spans="1:19" s="457" customFormat="1" ht="15.75" thickBot="1">
      <c r="A26" s="694" t="s">
        <v>913</v>
      </c>
      <c r="B26" s="811"/>
      <c r="C26" s="806">
        <f>SUM(C24:C25)</f>
        <v>731.42000000000007</v>
      </c>
      <c r="D26" s="806">
        <f t="shared" ref="D26:R26" si="2">SUM(D24:D25)</f>
        <v>0</v>
      </c>
      <c r="E26" s="806">
        <f t="shared" si="2"/>
        <v>1904.6319659999999</v>
      </c>
      <c r="F26" s="806">
        <f t="shared" si="2"/>
        <v>2.2335560761809745</v>
      </c>
      <c r="G26" s="806">
        <f t="shared" si="2"/>
        <v>773.70661659265011</v>
      </c>
      <c r="H26" s="806">
        <f t="shared" si="2"/>
        <v>0</v>
      </c>
      <c r="I26" s="806">
        <f t="shared" si="2"/>
        <v>0</v>
      </c>
      <c r="J26" s="806">
        <f t="shared" si="2"/>
        <v>0</v>
      </c>
      <c r="K26" s="806">
        <f t="shared" si="2"/>
        <v>29.329309910402475</v>
      </c>
      <c r="L26" s="806">
        <f t="shared" si="2"/>
        <v>0</v>
      </c>
      <c r="M26" s="806">
        <f t="shared" si="2"/>
        <v>0</v>
      </c>
      <c r="N26" s="806">
        <f t="shared" si="2"/>
        <v>0</v>
      </c>
      <c r="O26" s="806">
        <f t="shared" si="2"/>
        <v>0</v>
      </c>
      <c r="P26" s="806">
        <f t="shared" si="2"/>
        <v>0</v>
      </c>
      <c r="Q26" s="806">
        <f t="shared" si="2"/>
        <v>0</v>
      </c>
      <c r="R26" s="806">
        <f t="shared" si="2"/>
        <v>3441.3214485792337</v>
      </c>
      <c r="S26" s="68"/>
    </row>
    <row r="27" spans="1:19" s="457" customFormat="1" ht="17.25" thickTop="1" thickBot="1">
      <c r="A27" s="695" t="s">
        <v>116</v>
      </c>
      <c r="B27" s="798"/>
      <c r="C27" s="696">
        <f ca="1">C22+C16+C26</f>
        <v>72281.913039344479</v>
      </c>
      <c r="D27" s="696">
        <f t="shared" ref="D27:R27" ca="1" si="3">D22+D16+D26</f>
        <v>0</v>
      </c>
      <c r="E27" s="696">
        <f t="shared" ca="1" si="3"/>
        <v>217712.2605984004</v>
      </c>
      <c r="F27" s="696">
        <f t="shared" si="3"/>
        <v>2099.4150709109899</v>
      </c>
      <c r="G27" s="696">
        <f t="shared" ca="1" si="3"/>
        <v>35312.706577799108</v>
      </c>
      <c r="H27" s="696">
        <f t="shared" si="3"/>
        <v>84760.354863016473</v>
      </c>
      <c r="I27" s="696">
        <f t="shared" si="3"/>
        <v>11834.499823367827</v>
      </c>
      <c r="J27" s="696">
        <f t="shared" si="3"/>
        <v>0</v>
      </c>
      <c r="K27" s="696">
        <f t="shared" si="3"/>
        <v>1210.6082802055055</v>
      </c>
      <c r="L27" s="696">
        <f t="shared" si="3"/>
        <v>0</v>
      </c>
      <c r="M27" s="696">
        <f t="shared" ca="1" si="3"/>
        <v>0</v>
      </c>
      <c r="N27" s="696">
        <f t="shared" si="3"/>
        <v>4315.3818163799224</v>
      </c>
      <c r="O27" s="696">
        <f t="shared" ca="1" si="3"/>
        <v>5771.59626028005</v>
      </c>
      <c r="P27" s="696">
        <f t="shared" si="3"/>
        <v>20.323333333333334</v>
      </c>
      <c r="Q27" s="696">
        <f t="shared" si="3"/>
        <v>19.066666666666666</v>
      </c>
      <c r="R27" s="696">
        <f t="shared" ca="1" si="3"/>
        <v>435338.12632970477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3612.7011201839155</v>
      </c>
      <c r="D40" s="688">
        <f ca="1">tertiair!C20</f>
        <v>0</v>
      </c>
      <c r="E40" s="688">
        <f ca="1">tertiair!D20</f>
        <v>5006.8906697479997</v>
      </c>
      <c r="F40" s="688">
        <f>tertiair!E20</f>
        <v>24.387856461249921</v>
      </c>
      <c r="G40" s="688">
        <f ca="1">tertiair!F20</f>
        <v>987.90069946527524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9631.8803458584407</v>
      </c>
    </row>
    <row r="41" spans="1:18">
      <c r="A41" s="816" t="s">
        <v>225</v>
      </c>
      <c r="B41" s="823"/>
      <c r="C41" s="688">
        <f ca="1">huishoudens!B12</f>
        <v>4444.2628859796787</v>
      </c>
      <c r="D41" s="688">
        <f ca="1">huishoudens!C12</f>
        <v>0</v>
      </c>
      <c r="E41" s="688">
        <f>huishoudens!D12</f>
        <v>9746.0790235160002</v>
      </c>
      <c r="F41" s="688">
        <f>huishoudens!E12</f>
        <v>312.53999454239266</v>
      </c>
      <c r="G41" s="688">
        <f>huishoudens!F12</f>
        <v>6537.0620553446452</v>
      </c>
      <c r="H41" s="688">
        <f>huishoudens!G12</f>
        <v>0</v>
      </c>
      <c r="I41" s="688">
        <f>huishoudens!H12</f>
        <v>0</v>
      </c>
      <c r="J41" s="688">
        <f>huishoudens!I12</f>
        <v>0</v>
      </c>
      <c r="K41" s="688">
        <f>huishoudens!J12</f>
        <v>365.29773847403624</v>
      </c>
      <c r="L41" s="688">
        <f>huishoudens!K12</f>
        <v>0</v>
      </c>
      <c r="M41" s="688">
        <f>huishoudens!L12</f>
        <v>0</v>
      </c>
      <c r="N41" s="688">
        <f>huishoudens!M12</f>
        <v>0</v>
      </c>
      <c r="O41" s="688">
        <f>huishoudens!N12</f>
        <v>0</v>
      </c>
      <c r="P41" s="688">
        <f>huishoudens!O12</f>
        <v>0</v>
      </c>
      <c r="Q41" s="763">
        <f>huishoudens!P12</f>
        <v>0</v>
      </c>
      <c r="R41" s="844">
        <f t="shared" ca="1" si="4"/>
        <v>21405.241697856753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6070.5658074358134</v>
      </c>
      <c r="D43" s="688">
        <f ca="1">industrie!C22</f>
        <v>0</v>
      </c>
      <c r="E43" s="688">
        <f>industrie!D22</f>
        <v>28839.126861115998</v>
      </c>
      <c r="F43" s="688">
        <f>industrie!E22</f>
        <v>62.943742099076474</v>
      </c>
      <c r="G43" s="688">
        <f>industrie!F22</f>
        <v>1696.9502348322033</v>
      </c>
      <c r="H43" s="688">
        <f>industrie!G22</f>
        <v>0</v>
      </c>
      <c r="I43" s="688">
        <f>industrie!H22</f>
        <v>0</v>
      </c>
      <c r="J43" s="688">
        <f>industrie!I22</f>
        <v>0</v>
      </c>
      <c r="K43" s="688">
        <f>industrie!J22</f>
        <v>52.875017010430135</v>
      </c>
      <c r="L43" s="688">
        <f>industrie!K22</f>
        <v>0</v>
      </c>
      <c r="M43" s="688">
        <f>industrie!L22</f>
        <v>0</v>
      </c>
      <c r="N43" s="688">
        <f>industrie!M22</f>
        <v>0</v>
      </c>
      <c r="O43" s="688">
        <f>industrie!N22</f>
        <v>0</v>
      </c>
      <c r="P43" s="688">
        <f>industrie!O22</f>
        <v>0</v>
      </c>
      <c r="Q43" s="763">
        <f>industrie!P22</f>
        <v>0</v>
      </c>
      <c r="R43" s="843">
        <f t="shared" ca="1" si="4"/>
        <v>36722.46166249353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14127.529813599409</v>
      </c>
      <c r="D46" s="721">
        <f t="shared" ref="D46:Q46" ca="1" si="5">SUM(D39:D45)</f>
        <v>0</v>
      </c>
      <c r="E46" s="721">
        <f t="shared" ca="1" si="5"/>
        <v>43592.096554379998</v>
      </c>
      <c r="F46" s="721">
        <f t="shared" si="5"/>
        <v>399.87159310271903</v>
      </c>
      <c r="G46" s="721">
        <f t="shared" ca="1" si="5"/>
        <v>9221.9129896421236</v>
      </c>
      <c r="H46" s="721">
        <f t="shared" si="5"/>
        <v>0</v>
      </c>
      <c r="I46" s="721">
        <f t="shared" si="5"/>
        <v>0</v>
      </c>
      <c r="J46" s="721">
        <f t="shared" si="5"/>
        <v>0</v>
      </c>
      <c r="K46" s="721">
        <f t="shared" si="5"/>
        <v>418.17275548446639</v>
      </c>
      <c r="L46" s="721">
        <f t="shared" si="5"/>
        <v>0</v>
      </c>
      <c r="M46" s="721">
        <f t="shared" ca="1" si="5"/>
        <v>0</v>
      </c>
      <c r="N46" s="721">
        <f t="shared" si="5"/>
        <v>0</v>
      </c>
      <c r="O46" s="721">
        <f t="shared" ca="1" si="5"/>
        <v>0</v>
      </c>
      <c r="P46" s="721">
        <f t="shared" si="5"/>
        <v>0</v>
      </c>
      <c r="Q46" s="721">
        <f t="shared" si="5"/>
        <v>0</v>
      </c>
      <c r="R46" s="721">
        <f ca="1">SUM(R39:R45)</f>
        <v>67759.583706208723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167.64416801244508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167.64416801244508</v>
      </c>
    </row>
    <row r="50" spans="1:18">
      <c r="A50" s="819" t="s">
        <v>307</v>
      </c>
      <c r="B50" s="829"/>
      <c r="C50" s="1008">
        <f ca="1">transport!B18</f>
        <v>0.38503502421991359</v>
      </c>
      <c r="D50" s="1008">
        <f>transport!C18</f>
        <v>0</v>
      </c>
      <c r="E50" s="1008">
        <f>transport!D18</f>
        <v>1.0444293648895482</v>
      </c>
      <c r="F50" s="1008">
        <f>transport!E18</f>
        <v>76.188610764782652</v>
      </c>
      <c r="G50" s="1008">
        <f>transport!F18</f>
        <v>0</v>
      </c>
      <c r="H50" s="1008">
        <f>transport!G18</f>
        <v>22463.370580412953</v>
      </c>
      <c r="I50" s="1008">
        <f>transport!H18</f>
        <v>2946.7904560185889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25487.779111585434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0.38503502421991359</v>
      </c>
      <c r="D52" s="721">
        <f t="shared" ref="D52:Q52" ca="1" si="6">SUM(D48:D51)</f>
        <v>0</v>
      </c>
      <c r="E52" s="721">
        <f t="shared" si="6"/>
        <v>1.0444293648895482</v>
      </c>
      <c r="F52" s="721">
        <f t="shared" si="6"/>
        <v>76.188610764782652</v>
      </c>
      <c r="G52" s="721">
        <f t="shared" si="6"/>
        <v>0</v>
      </c>
      <c r="H52" s="721">
        <f t="shared" si="6"/>
        <v>22631.014748425398</v>
      </c>
      <c r="I52" s="721">
        <f t="shared" si="6"/>
        <v>2946.7904560185889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25655.423279597879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46.814512620243327</v>
      </c>
      <c r="D54" s="1008">
        <f ca="1">+landbouw!C12</f>
        <v>0</v>
      </c>
      <c r="E54" s="1008">
        <f>+landbouw!D12</f>
        <v>20.886591132000003</v>
      </c>
      <c r="F54" s="1008">
        <f>+landbouw!E12</f>
        <v>0.50701722929308124</v>
      </c>
      <c r="G54" s="1008">
        <f>+landbouw!F12</f>
        <v>206.5796666302376</v>
      </c>
      <c r="H54" s="1008">
        <f>+landbouw!G12</f>
        <v>0</v>
      </c>
      <c r="I54" s="1008">
        <f>+landbouw!H12</f>
        <v>0</v>
      </c>
      <c r="J54" s="1008">
        <f>+landbouw!I12</f>
        <v>0</v>
      </c>
      <c r="K54" s="1008">
        <f>+landbouw!J12</f>
        <v>10.382575708282475</v>
      </c>
      <c r="L54" s="1008">
        <f>+landbouw!K12</f>
        <v>0</v>
      </c>
      <c r="M54" s="1008">
        <f>+landbouw!L12</f>
        <v>0</v>
      </c>
      <c r="N54" s="1008">
        <f>+landbouw!M12</f>
        <v>0</v>
      </c>
      <c r="O54" s="1008">
        <f>+landbouw!N12</f>
        <v>0</v>
      </c>
      <c r="P54" s="1008">
        <f>+landbouw!O12</f>
        <v>0</v>
      </c>
      <c r="Q54" s="1009">
        <f>+landbouw!P12</f>
        <v>0</v>
      </c>
      <c r="R54" s="720">
        <f ca="1">SUM(C54:Q54)</f>
        <v>285.17036332005648</v>
      </c>
    </row>
    <row r="55" spans="1:18" ht="15" thickBot="1">
      <c r="A55" s="819" t="s">
        <v>912</v>
      </c>
      <c r="B55" s="829"/>
      <c r="C55" s="1008">
        <f ca="1">C25*'EF ele_warmte'!B12</f>
        <v>97.60712641581614</v>
      </c>
      <c r="D55" s="1008"/>
      <c r="E55" s="1008">
        <f>E25*EF_CO2_aardgas</f>
        <v>363.84906599999999</v>
      </c>
      <c r="F55" s="1008"/>
      <c r="G55" s="1008"/>
      <c r="H55" s="1008"/>
      <c r="I55" s="1008"/>
      <c r="J55" s="1008"/>
      <c r="K55" s="1008"/>
      <c r="L55" s="1008"/>
      <c r="M55" s="1008"/>
      <c r="N55" s="1008"/>
      <c r="O55" s="1008"/>
      <c r="P55" s="1008"/>
      <c r="Q55" s="1009"/>
      <c r="R55" s="720">
        <f ca="1">SUM(C55:Q55)</f>
        <v>461.45619241581613</v>
      </c>
    </row>
    <row r="56" spans="1:18" ht="15.75" thickBot="1">
      <c r="A56" s="817" t="s">
        <v>913</v>
      </c>
      <c r="B56" s="830"/>
      <c r="C56" s="721">
        <f ca="1">SUM(C54:C55)</f>
        <v>144.42163903605947</v>
      </c>
      <c r="D56" s="721">
        <f t="shared" ref="D56:Q56" ca="1" si="7">SUM(D54:D55)</f>
        <v>0</v>
      </c>
      <c r="E56" s="721">
        <f t="shared" si="7"/>
        <v>384.73565713199997</v>
      </c>
      <c r="F56" s="721">
        <f t="shared" si="7"/>
        <v>0.50701722929308124</v>
      </c>
      <c r="G56" s="721">
        <f t="shared" si="7"/>
        <v>206.5796666302376</v>
      </c>
      <c r="H56" s="721">
        <f t="shared" si="7"/>
        <v>0</v>
      </c>
      <c r="I56" s="721">
        <f t="shared" si="7"/>
        <v>0</v>
      </c>
      <c r="J56" s="721">
        <f t="shared" si="7"/>
        <v>0</v>
      </c>
      <c r="K56" s="721">
        <f t="shared" si="7"/>
        <v>10.382575708282475</v>
      </c>
      <c r="L56" s="721">
        <f t="shared" si="7"/>
        <v>0</v>
      </c>
      <c r="M56" s="721">
        <f t="shared" si="7"/>
        <v>0</v>
      </c>
      <c r="N56" s="721">
        <f t="shared" si="7"/>
        <v>0</v>
      </c>
      <c r="O56" s="721">
        <f t="shared" si="7"/>
        <v>0</v>
      </c>
      <c r="P56" s="721">
        <f t="shared" si="7"/>
        <v>0</v>
      </c>
      <c r="Q56" s="722">
        <f t="shared" si="7"/>
        <v>0</v>
      </c>
      <c r="R56" s="723">
        <f ca="1">SUM(R54:R55)</f>
        <v>746.62655573587267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14272.336487659688</v>
      </c>
      <c r="D61" s="729">
        <f t="shared" ref="D61:Q61" ca="1" si="8">D46+D52+D56</f>
        <v>0</v>
      </c>
      <c r="E61" s="729">
        <f t="shared" ca="1" si="8"/>
        <v>43977.876640876886</v>
      </c>
      <c r="F61" s="729">
        <f t="shared" si="8"/>
        <v>476.56722109679475</v>
      </c>
      <c r="G61" s="729">
        <f t="shared" ca="1" si="8"/>
        <v>9428.4926562723613</v>
      </c>
      <c r="H61" s="729">
        <f t="shared" si="8"/>
        <v>22631.014748425398</v>
      </c>
      <c r="I61" s="729">
        <f t="shared" si="8"/>
        <v>2946.7904560185889</v>
      </c>
      <c r="J61" s="729">
        <f t="shared" si="8"/>
        <v>0</v>
      </c>
      <c r="K61" s="729">
        <f t="shared" si="8"/>
        <v>428.55533119274889</v>
      </c>
      <c r="L61" s="729">
        <f t="shared" si="8"/>
        <v>0</v>
      </c>
      <c r="M61" s="729">
        <f t="shared" ca="1" si="8"/>
        <v>0</v>
      </c>
      <c r="N61" s="729">
        <f t="shared" si="8"/>
        <v>0</v>
      </c>
      <c r="O61" s="729">
        <f t="shared" ca="1" si="8"/>
        <v>0</v>
      </c>
      <c r="P61" s="729">
        <f t="shared" si="8"/>
        <v>0</v>
      </c>
      <c r="Q61" s="729">
        <f t="shared" si="8"/>
        <v>0</v>
      </c>
      <c r="R61" s="729">
        <f ca="1">R46+R52+R56</f>
        <v>94161.633541542469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0.19745377353102112</v>
      </c>
      <c r="D63" s="773">
        <f t="shared" ca="1" si="9"/>
        <v>0</v>
      </c>
      <c r="E63" s="1010">
        <f t="shared" ca="1" si="9"/>
        <v>0.20200000000000001</v>
      </c>
      <c r="F63" s="773">
        <f t="shared" si="9"/>
        <v>0.22700000000000001</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7701.2049503866201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7701.2049503866201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22507.865038504617</v>
      </c>
      <c r="C4" s="461">
        <f>huishoudens!C8</f>
        <v>0</v>
      </c>
      <c r="D4" s="461">
        <f>huishoudens!D8</f>
        <v>48247.915957999998</v>
      </c>
      <c r="E4" s="461">
        <f>huishoudens!E8</f>
        <v>1376.828169790276</v>
      </c>
      <c r="F4" s="461">
        <f>huishoudens!F8</f>
        <v>24483.378484436871</v>
      </c>
      <c r="G4" s="461">
        <f>huishoudens!G8</f>
        <v>0</v>
      </c>
      <c r="H4" s="461">
        <f>huishoudens!H8</f>
        <v>0</v>
      </c>
      <c r="I4" s="461">
        <f>huishoudens!I8</f>
        <v>0</v>
      </c>
      <c r="J4" s="461">
        <f>huishoudens!J8</f>
        <v>1031.9145154633793</v>
      </c>
      <c r="K4" s="461">
        <f>huishoudens!K8</f>
        <v>0</v>
      </c>
      <c r="L4" s="461">
        <f>huishoudens!L8</f>
        <v>0</v>
      </c>
      <c r="M4" s="461">
        <f>huishoudens!M8</f>
        <v>0</v>
      </c>
      <c r="N4" s="461">
        <f>huishoudens!N8</f>
        <v>3632.9376735128171</v>
      </c>
      <c r="O4" s="461">
        <f>huishoudens!O8</f>
        <v>20.323333333333334</v>
      </c>
      <c r="P4" s="462">
        <f>huishoudens!P8</f>
        <v>19.066666666666666</v>
      </c>
      <c r="Q4" s="463">
        <f>SUM(B4:P4)</f>
        <v>101320.22983970794</v>
      </c>
    </row>
    <row r="5" spans="1:17">
      <c r="A5" s="460" t="s">
        <v>156</v>
      </c>
      <c r="B5" s="461">
        <f ca="1">tertiair!B16</f>
        <v>17475.382999999998</v>
      </c>
      <c r="C5" s="461">
        <f ca="1">tertiair!C16</f>
        <v>0</v>
      </c>
      <c r="D5" s="461">
        <f ca="1">tertiair!D16</f>
        <v>24786.587473999996</v>
      </c>
      <c r="E5" s="461">
        <f>tertiair!E16</f>
        <v>107.43549101872212</v>
      </c>
      <c r="F5" s="461">
        <f ca="1">tertiair!F16</f>
        <v>3700.0026197201319</v>
      </c>
      <c r="G5" s="461">
        <f>tertiair!G16</f>
        <v>0</v>
      </c>
      <c r="H5" s="461">
        <f>tertiair!H16</f>
        <v>0</v>
      </c>
      <c r="I5" s="461">
        <f>tertiair!I16</f>
        <v>0</v>
      </c>
      <c r="J5" s="461">
        <f>tertiair!J16</f>
        <v>0</v>
      </c>
      <c r="K5" s="461">
        <f>tertiair!K16</f>
        <v>0</v>
      </c>
      <c r="L5" s="461">
        <f ca="1">tertiair!L16</f>
        <v>0</v>
      </c>
      <c r="M5" s="461">
        <f>tertiair!M16</f>
        <v>0</v>
      </c>
      <c r="N5" s="461">
        <f ca="1">tertiair!N16</f>
        <v>1151.5416429151824</v>
      </c>
      <c r="O5" s="461">
        <f>tertiair!O16</f>
        <v>0</v>
      </c>
      <c r="P5" s="462">
        <f>tertiair!P16</f>
        <v>0</v>
      </c>
      <c r="Q5" s="460">
        <f t="shared" ref="Q5:Q14" ca="1" si="0">SUM(B5:P5)</f>
        <v>47220.95022765403</v>
      </c>
    </row>
    <row r="6" spans="1:17">
      <c r="A6" s="460" t="s">
        <v>194</v>
      </c>
      <c r="B6" s="461">
        <f>'openbare verlichting'!B8</f>
        <v>821.05700000000002</v>
      </c>
      <c r="C6" s="461"/>
      <c r="D6" s="461"/>
      <c r="E6" s="461"/>
      <c r="F6" s="461"/>
      <c r="G6" s="461"/>
      <c r="H6" s="461"/>
      <c r="I6" s="461"/>
      <c r="J6" s="461"/>
      <c r="K6" s="461"/>
      <c r="L6" s="461"/>
      <c r="M6" s="461"/>
      <c r="N6" s="461"/>
      <c r="O6" s="461"/>
      <c r="P6" s="462"/>
      <c r="Q6" s="460">
        <f t="shared" si="0"/>
        <v>821.05700000000002</v>
      </c>
    </row>
    <row r="7" spans="1:17">
      <c r="A7" s="460" t="s">
        <v>112</v>
      </c>
      <c r="B7" s="461">
        <f>landbouw!B8</f>
        <v>237.09100000000001</v>
      </c>
      <c r="C7" s="461">
        <f>landbouw!C8</f>
        <v>0</v>
      </c>
      <c r="D7" s="461">
        <f>landbouw!D8</f>
        <v>103.398966</v>
      </c>
      <c r="E7" s="461">
        <f>landbouw!E8</f>
        <v>2.2335560761809745</v>
      </c>
      <c r="F7" s="461">
        <f>landbouw!F8</f>
        <v>773.70661659265011</v>
      </c>
      <c r="G7" s="461">
        <f>landbouw!G8</f>
        <v>0</v>
      </c>
      <c r="H7" s="461">
        <f>landbouw!H8</f>
        <v>0</v>
      </c>
      <c r="I7" s="461">
        <f>landbouw!I8</f>
        <v>0</v>
      </c>
      <c r="J7" s="461">
        <f>landbouw!J8</f>
        <v>29.329309910402475</v>
      </c>
      <c r="K7" s="461">
        <f>landbouw!K8</f>
        <v>0</v>
      </c>
      <c r="L7" s="461">
        <f>landbouw!L8</f>
        <v>0</v>
      </c>
      <c r="M7" s="461">
        <f>landbouw!M8</f>
        <v>0</v>
      </c>
      <c r="N7" s="461">
        <f>landbouw!N8</f>
        <v>0</v>
      </c>
      <c r="O7" s="461">
        <f>landbouw!O8</f>
        <v>0</v>
      </c>
      <c r="P7" s="462">
        <f>landbouw!P8</f>
        <v>0</v>
      </c>
      <c r="Q7" s="460">
        <f t="shared" si="0"/>
        <v>1145.7594485792338</v>
      </c>
    </row>
    <row r="8" spans="1:17">
      <c r="A8" s="460" t="s">
        <v>685</v>
      </c>
      <c r="B8" s="461">
        <f>industrie!B18</f>
        <v>30744.238000000001</v>
      </c>
      <c r="C8" s="461">
        <f>industrie!C18</f>
        <v>0</v>
      </c>
      <c r="D8" s="461">
        <f>industrie!D18</f>
        <v>142767.95475799998</v>
      </c>
      <c r="E8" s="461">
        <f>industrie!E18</f>
        <v>277.28520748491837</v>
      </c>
      <c r="F8" s="461">
        <f>industrie!F18</f>
        <v>6355.6188570494496</v>
      </c>
      <c r="G8" s="461">
        <f>industrie!G18</f>
        <v>0</v>
      </c>
      <c r="H8" s="461">
        <f>industrie!H18</f>
        <v>0</v>
      </c>
      <c r="I8" s="461">
        <f>industrie!I18</f>
        <v>0</v>
      </c>
      <c r="J8" s="461">
        <f>industrie!J18</f>
        <v>149.36445483172355</v>
      </c>
      <c r="K8" s="461">
        <f>industrie!K18</f>
        <v>0</v>
      </c>
      <c r="L8" s="461">
        <f>industrie!L18</f>
        <v>0</v>
      </c>
      <c r="M8" s="461">
        <f>industrie!M18</f>
        <v>0</v>
      </c>
      <c r="N8" s="461">
        <f>industrie!N18</f>
        <v>987.11694385205055</v>
      </c>
      <c r="O8" s="461">
        <f>industrie!O18</f>
        <v>0</v>
      </c>
      <c r="P8" s="462">
        <f>industrie!P18</f>
        <v>0</v>
      </c>
      <c r="Q8" s="460">
        <f t="shared" si="0"/>
        <v>181281.57822121811</v>
      </c>
    </row>
    <row r="9" spans="1:17" s="466" customFormat="1">
      <c r="A9" s="464" t="s">
        <v>579</v>
      </c>
      <c r="B9" s="465">
        <f>transport!B14</f>
        <v>1.9500008398645388</v>
      </c>
      <c r="C9" s="465">
        <f>transport!C14</f>
        <v>0</v>
      </c>
      <c r="D9" s="465">
        <f>transport!D14</f>
        <v>5.1704424004433074</v>
      </c>
      <c r="E9" s="465">
        <f>transport!E14</f>
        <v>335.63264654089272</v>
      </c>
      <c r="F9" s="465">
        <f>transport!F14</f>
        <v>0</v>
      </c>
      <c r="G9" s="465">
        <f>transport!G14</f>
        <v>84132.474083943642</v>
      </c>
      <c r="H9" s="465">
        <f>transport!H14</f>
        <v>11834.499823367827</v>
      </c>
      <c r="I9" s="465">
        <f>transport!I14</f>
        <v>0</v>
      </c>
      <c r="J9" s="465">
        <f>transport!J14</f>
        <v>0</v>
      </c>
      <c r="K9" s="465">
        <f>transport!K14</f>
        <v>0</v>
      </c>
      <c r="L9" s="465">
        <f>transport!L14</f>
        <v>0</v>
      </c>
      <c r="M9" s="465">
        <f>transport!M14</f>
        <v>4287.8105356167016</v>
      </c>
      <c r="N9" s="465">
        <f>transport!N14</f>
        <v>0</v>
      </c>
      <c r="O9" s="465">
        <f>transport!O14</f>
        <v>0</v>
      </c>
      <c r="P9" s="465">
        <f>transport!P14</f>
        <v>0</v>
      </c>
      <c r="Q9" s="464">
        <f>SUM(B9:P9)</f>
        <v>100597.53753270936</v>
      </c>
    </row>
    <row r="10" spans="1:17">
      <c r="A10" s="460" t="s">
        <v>569</v>
      </c>
      <c r="B10" s="461">
        <f>transport!B54</f>
        <v>0</v>
      </c>
      <c r="C10" s="461">
        <f>transport!C54</f>
        <v>0</v>
      </c>
      <c r="D10" s="461">
        <f>transport!D54</f>
        <v>0</v>
      </c>
      <c r="E10" s="461">
        <f>transport!E54</f>
        <v>0</v>
      </c>
      <c r="F10" s="461">
        <f>transport!F54</f>
        <v>0</v>
      </c>
      <c r="G10" s="461">
        <f>transport!G54</f>
        <v>627.88077907282798</v>
      </c>
      <c r="H10" s="461">
        <f>transport!H54</f>
        <v>0</v>
      </c>
      <c r="I10" s="461">
        <f>transport!I54</f>
        <v>0</v>
      </c>
      <c r="J10" s="461">
        <f>transport!J54</f>
        <v>0</v>
      </c>
      <c r="K10" s="461">
        <f>transport!K54</f>
        <v>0</v>
      </c>
      <c r="L10" s="461">
        <f>transport!L54</f>
        <v>0</v>
      </c>
      <c r="M10" s="461">
        <f>transport!M54</f>
        <v>27.571280763220503</v>
      </c>
      <c r="N10" s="461">
        <f>transport!N54</f>
        <v>0</v>
      </c>
      <c r="O10" s="461">
        <f>transport!O54</f>
        <v>0</v>
      </c>
      <c r="P10" s="462">
        <f>transport!P54</f>
        <v>0</v>
      </c>
      <c r="Q10" s="460">
        <f t="shared" si="0"/>
        <v>655.45205983604853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494.32900000000001</v>
      </c>
      <c r="C14" s="468"/>
      <c r="D14" s="468">
        <f>'SEAP template'!E25</f>
        <v>1801.2329999999999</v>
      </c>
      <c r="E14" s="468"/>
      <c r="F14" s="468"/>
      <c r="G14" s="468"/>
      <c r="H14" s="468"/>
      <c r="I14" s="468"/>
      <c r="J14" s="468"/>
      <c r="K14" s="468"/>
      <c r="L14" s="468"/>
      <c r="M14" s="468"/>
      <c r="N14" s="468"/>
      <c r="O14" s="468"/>
      <c r="P14" s="469"/>
      <c r="Q14" s="460">
        <f t="shared" si="0"/>
        <v>2295.5619999999999</v>
      </c>
    </row>
    <row r="15" spans="1:17" s="473" customFormat="1">
      <c r="A15" s="470" t="s">
        <v>573</v>
      </c>
      <c r="B15" s="471">
        <f ca="1">SUM(B4:B14)</f>
        <v>72281.913039344479</v>
      </c>
      <c r="C15" s="471">
        <f t="shared" ref="C15:Q15" ca="1" si="1">SUM(C4:C14)</f>
        <v>0</v>
      </c>
      <c r="D15" s="471">
        <f t="shared" ca="1" si="1"/>
        <v>217712.26059840043</v>
      </c>
      <c r="E15" s="471">
        <f t="shared" si="1"/>
        <v>2099.4150709109904</v>
      </c>
      <c r="F15" s="471">
        <f t="shared" ca="1" si="1"/>
        <v>35312.706577799108</v>
      </c>
      <c r="G15" s="471">
        <f t="shared" si="1"/>
        <v>84760.354863016473</v>
      </c>
      <c r="H15" s="471">
        <f t="shared" si="1"/>
        <v>11834.499823367827</v>
      </c>
      <c r="I15" s="471">
        <f t="shared" si="1"/>
        <v>0</v>
      </c>
      <c r="J15" s="471">
        <f t="shared" si="1"/>
        <v>1210.6082802055055</v>
      </c>
      <c r="K15" s="471">
        <f t="shared" si="1"/>
        <v>0</v>
      </c>
      <c r="L15" s="471">
        <f t="shared" ca="1" si="1"/>
        <v>0</v>
      </c>
      <c r="M15" s="471">
        <f t="shared" si="1"/>
        <v>4315.3818163799224</v>
      </c>
      <c r="N15" s="471">
        <f t="shared" ca="1" si="1"/>
        <v>5771.59626028005</v>
      </c>
      <c r="O15" s="471">
        <f t="shared" si="1"/>
        <v>20.323333333333334</v>
      </c>
      <c r="P15" s="471">
        <f t="shared" si="1"/>
        <v>19.066666666666666</v>
      </c>
      <c r="Q15" s="471">
        <f t="shared" ca="1" si="1"/>
        <v>435338.12632970471</v>
      </c>
    </row>
    <row r="17" spans="1:17">
      <c r="A17" s="474" t="s">
        <v>574</v>
      </c>
      <c r="B17" s="778">
        <f ca="1">huishoudens!B10</f>
        <v>0.19745377353102112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4444.2628859796787</v>
      </c>
      <c r="C22" s="461">
        <f t="shared" ref="C22:C32" ca="1" si="3">C4*$C$17</f>
        <v>0</v>
      </c>
      <c r="D22" s="461">
        <f t="shared" ref="D22:D32" si="4">D4*$D$17</f>
        <v>9746.0790235160002</v>
      </c>
      <c r="E22" s="461">
        <f t="shared" ref="E22:E32" si="5">E4*$E$17</f>
        <v>312.53999454239266</v>
      </c>
      <c r="F22" s="461">
        <f t="shared" ref="F22:F32" si="6">F4*$F$17</f>
        <v>6537.0620553446452</v>
      </c>
      <c r="G22" s="461">
        <f t="shared" ref="G22:G32" si="7">G4*$G$17</f>
        <v>0</v>
      </c>
      <c r="H22" s="461">
        <f t="shared" ref="H22:H32" si="8">H4*$H$17</f>
        <v>0</v>
      </c>
      <c r="I22" s="461">
        <f t="shared" ref="I22:I32" si="9">I4*$I$17</f>
        <v>0</v>
      </c>
      <c r="J22" s="461">
        <f t="shared" ref="J22:J32" si="10">J4*$J$17</f>
        <v>365.29773847403624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21405.241697856753</v>
      </c>
    </row>
    <row r="23" spans="1:17">
      <c r="A23" s="460" t="s">
        <v>156</v>
      </c>
      <c r="B23" s="461">
        <f t="shared" ca="1" si="2"/>
        <v>3450.5803172498559</v>
      </c>
      <c r="C23" s="461">
        <f t="shared" ca="1" si="3"/>
        <v>0</v>
      </c>
      <c r="D23" s="461">
        <f t="shared" ca="1" si="4"/>
        <v>5006.8906697479997</v>
      </c>
      <c r="E23" s="461">
        <f t="shared" si="5"/>
        <v>24.387856461249921</v>
      </c>
      <c r="F23" s="461">
        <f t="shared" ca="1" si="6"/>
        <v>987.90069946527524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9469.7595429243811</v>
      </c>
    </row>
    <row r="24" spans="1:17">
      <c r="A24" s="460" t="s">
        <v>194</v>
      </c>
      <c r="B24" s="461">
        <f t="shared" ca="1" si="2"/>
        <v>162.12080293405961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162.12080293405961</v>
      </c>
    </row>
    <row r="25" spans="1:17">
      <c r="A25" s="460" t="s">
        <v>112</v>
      </c>
      <c r="B25" s="461">
        <f t="shared" ca="1" si="2"/>
        <v>46.814512620243327</v>
      </c>
      <c r="C25" s="461">
        <f t="shared" ca="1" si="3"/>
        <v>0</v>
      </c>
      <c r="D25" s="461">
        <f t="shared" si="4"/>
        <v>20.886591132000003</v>
      </c>
      <c r="E25" s="461">
        <f t="shared" si="5"/>
        <v>0.50701722929308124</v>
      </c>
      <c r="F25" s="461">
        <f t="shared" si="6"/>
        <v>206.5796666302376</v>
      </c>
      <c r="G25" s="461">
        <f t="shared" si="7"/>
        <v>0</v>
      </c>
      <c r="H25" s="461">
        <f t="shared" si="8"/>
        <v>0</v>
      </c>
      <c r="I25" s="461">
        <f t="shared" si="9"/>
        <v>0</v>
      </c>
      <c r="J25" s="461">
        <f t="shared" si="10"/>
        <v>10.382575708282475</v>
      </c>
      <c r="K25" s="461">
        <f t="shared" si="11"/>
        <v>0</v>
      </c>
      <c r="L25" s="461">
        <f t="shared" si="12"/>
        <v>0</v>
      </c>
      <c r="M25" s="461">
        <f t="shared" si="13"/>
        <v>0</v>
      </c>
      <c r="N25" s="461">
        <f t="shared" si="14"/>
        <v>0</v>
      </c>
      <c r="O25" s="461">
        <f t="shared" si="15"/>
        <v>0</v>
      </c>
      <c r="P25" s="462">
        <f t="shared" si="16"/>
        <v>0</v>
      </c>
      <c r="Q25" s="460">
        <f t="shared" ca="1" si="17"/>
        <v>285.17036332005648</v>
      </c>
    </row>
    <row r="26" spans="1:17">
      <c r="A26" s="460" t="s">
        <v>685</v>
      </c>
      <c r="B26" s="461">
        <f t="shared" ca="1" si="2"/>
        <v>6070.5658074358134</v>
      </c>
      <c r="C26" s="461">
        <f t="shared" ca="1" si="3"/>
        <v>0</v>
      </c>
      <c r="D26" s="461">
        <f t="shared" si="4"/>
        <v>28839.126861115998</v>
      </c>
      <c r="E26" s="461">
        <f t="shared" si="5"/>
        <v>62.943742099076474</v>
      </c>
      <c r="F26" s="461">
        <f t="shared" si="6"/>
        <v>1696.9502348322033</v>
      </c>
      <c r="G26" s="461">
        <f t="shared" si="7"/>
        <v>0</v>
      </c>
      <c r="H26" s="461">
        <f t="shared" si="8"/>
        <v>0</v>
      </c>
      <c r="I26" s="461">
        <f t="shared" si="9"/>
        <v>0</v>
      </c>
      <c r="J26" s="461">
        <f t="shared" si="10"/>
        <v>52.875017010430135</v>
      </c>
      <c r="K26" s="461">
        <f t="shared" si="11"/>
        <v>0</v>
      </c>
      <c r="L26" s="461">
        <f t="shared" si="12"/>
        <v>0</v>
      </c>
      <c r="M26" s="461">
        <f t="shared" si="13"/>
        <v>0</v>
      </c>
      <c r="N26" s="461">
        <f t="shared" si="14"/>
        <v>0</v>
      </c>
      <c r="O26" s="461">
        <f t="shared" si="15"/>
        <v>0</v>
      </c>
      <c r="P26" s="462">
        <f t="shared" si="16"/>
        <v>0</v>
      </c>
      <c r="Q26" s="460">
        <f t="shared" ca="1" si="17"/>
        <v>36722.46166249353</v>
      </c>
    </row>
    <row r="27" spans="1:17" s="466" customFormat="1">
      <c r="A27" s="464" t="s">
        <v>579</v>
      </c>
      <c r="B27" s="772">
        <f t="shared" ca="1" si="2"/>
        <v>0.38503502421991359</v>
      </c>
      <c r="C27" s="465">
        <f t="shared" ca="1" si="3"/>
        <v>0</v>
      </c>
      <c r="D27" s="465">
        <f t="shared" si="4"/>
        <v>1.0444293648895482</v>
      </c>
      <c r="E27" s="465">
        <f t="shared" si="5"/>
        <v>76.188610764782652</v>
      </c>
      <c r="F27" s="465">
        <f t="shared" si="6"/>
        <v>0</v>
      </c>
      <c r="G27" s="465">
        <f t="shared" si="7"/>
        <v>22463.370580412953</v>
      </c>
      <c r="H27" s="465">
        <f t="shared" si="8"/>
        <v>2946.7904560185889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25487.779111585434</v>
      </c>
    </row>
    <row r="28" spans="1:17">
      <c r="A28" s="460" t="s">
        <v>569</v>
      </c>
      <c r="B28" s="461">
        <f t="shared" ca="1" si="2"/>
        <v>0</v>
      </c>
      <c r="C28" s="461">
        <f t="shared" ca="1" si="3"/>
        <v>0</v>
      </c>
      <c r="D28" s="461">
        <f t="shared" si="4"/>
        <v>0</v>
      </c>
      <c r="E28" s="461">
        <f t="shared" si="5"/>
        <v>0</v>
      </c>
      <c r="F28" s="461">
        <f t="shared" si="6"/>
        <v>0</v>
      </c>
      <c r="G28" s="461">
        <f t="shared" si="7"/>
        <v>167.64416801244508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167.64416801244508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97.60712641581614</v>
      </c>
      <c r="C32" s="461">
        <f t="shared" ca="1" si="3"/>
        <v>0</v>
      </c>
      <c r="D32" s="461">
        <f t="shared" si="4"/>
        <v>363.84906599999999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461.45619241581613</v>
      </c>
    </row>
    <row r="33" spans="1:17" s="473" customFormat="1">
      <c r="A33" s="470" t="s">
        <v>573</v>
      </c>
      <c r="B33" s="471">
        <f ca="1">SUM(B22:B32)</f>
        <v>14272.336487659688</v>
      </c>
      <c r="C33" s="471">
        <f t="shared" ref="C33:Q33" ca="1" si="18">SUM(C22:C32)</f>
        <v>0</v>
      </c>
      <c r="D33" s="471">
        <f t="shared" ca="1" si="18"/>
        <v>43977.876640876893</v>
      </c>
      <c r="E33" s="471">
        <f t="shared" si="18"/>
        <v>476.56722109679475</v>
      </c>
      <c r="F33" s="471">
        <f t="shared" ca="1" si="18"/>
        <v>9428.4926562723613</v>
      </c>
      <c r="G33" s="471">
        <f t="shared" si="18"/>
        <v>22631.014748425398</v>
      </c>
      <c r="H33" s="471">
        <f t="shared" si="18"/>
        <v>2946.7904560185889</v>
      </c>
      <c r="I33" s="471">
        <f t="shared" si="18"/>
        <v>0</v>
      </c>
      <c r="J33" s="471">
        <f t="shared" si="18"/>
        <v>428.55533119274889</v>
      </c>
      <c r="K33" s="471">
        <f t="shared" si="18"/>
        <v>0</v>
      </c>
      <c r="L33" s="471">
        <f t="shared" ca="1" si="18"/>
        <v>0</v>
      </c>
      <c r="M33" s="471">
        <f t="shared" si="18"/>
        <v>0</v>
      </c>
      <c r="N33" s="471">
        <f t="shared" ca="1" si="18"/>
        <v>0</v>
      </c>
      <c r="O33" s="471">
        <f t="shared" si="18"/>
        <v>0</v>
      </c>
      <c r="P33" s="471">
        <f t="shared" si="18"/>
        <v>0</v>
      </c>
      <c r="Q33" s="471">
        <f t="shared" ca="1" si="18"/>
        <v>94161.633541542469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7701.2049503866201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7701.2049503866201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0.19745377353102112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0.19745377353102112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0.19745377353102112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0.19745377353102112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43018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5444</v>
      </c>
      <c r="C9" s="338">
        <v>5610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450</v>
      </c>
    </row>
    <row r="15" spans="1:6">
      <c r="A15" s="1286" t="s">
        <v>184</v>
      </c>
      <c r="B15" s="335">
        <v>4</v>
      </c>
    </row>
    <row r="16" spans="1:6">
      <c r="A16" s="1286" t="s">
        <v>6</v>
      </c>
      <c r="B16" s="335">
        <v>159</v>
      </c>
    </row>
    <row r="17" spans="1:6">
      <c r="A17" s="1286" t="s">
        <v>7</v>
      </c>
      <c r="B17" s="335">
        <v>49</v>
      </c>
    </row>
    <row r="18" spans="1:6">
      <c r="A18" s="1286" t="s">
        <v>8</v>
      </c>
      <c r="B18" s="335">
        <v>119</v>
      </c>
    </row>
    <row r="19" spans="1:6">
      <c r="A19" s="1286" t="s">
        <v>9</v>
      </c>
      <c r="B19" s="335">
        <v>114</v>
      </c>
    </row>
    <row r="20" spans="1:6">
      <c r="A20" s="1286" t="s">
        <v>10</v>
      </c>
      <c r="B20" s="335">
        <v>133</v>
      </c>
    </row>
    <row r="21" spans="1:6">
      <c r="A21" s="1286" t="s">
        <v>11</v>
      </c>
      <c r="B21" s="335">
        <v>582</v>
      </c>
    </row>
    <row r="22" spans="1:6">
      <c r="A22" s="1286" t="s">
        <v>12</v>
      </c>
      <c r="B22" s="335">
        <v>1788</v>
      </c>
    </row>
    <row r="23" spans="1:6">
      <c r="A23" s="1286" t="s">
        <v>13</v>
      </c>
      <c r="B23" s="335">
        <v>20</v>
      </c>
    </row>
    <row r="24" spans="1:6">
      <c r="A24" s="1286" t="s">
        <v>14</v>
      </c>
      <c r="B24" s="335">
        <v>2</v>
      </c>
    </row>
    <row r="25" spans="1:6">
      <c r="A25" s="1286" t="s">
        <v>15</v>
      </c>
      <c r="B25" s="335">
        <v>188</v>
      </c>
    </row>
    <row r="26" spans="1:6">
      <c r="A26" s="1286" t="s">
        <v>16</v>
      </c>
      <c r="B26" s="335">
        <v>0</v>
      </c>
    </row>
    <row r="27" spans="1:6">
      <c r="A27" s="1286" t="s">
        <v>17</v>
      </c>
      <c r="B27" s="335">
        <v>0</v>
      </c>
    </row>
    <row r="28" spans="1:6" s="341" customFormat="1">
      <c r="A28" s="1287" t="s">
        <v>18</v>
      </c>
      <c r="B28" s="1287">
        <v>21500</v>
      </c>
    </row>
    <row r="29" spans="1:6">
      <c r="A29" s="1287" t="s">
        <v>944</v>
      </c>
      <c r="B29" s="1287">
        <v>2</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680369</v>
      </c>
    </row>
    <row r="36" spans="1:6">
      <c r="A36" s="1286" t="s">
        <v>25</v>
      </c>
      <c r="B36" s="1286" t="s">
        <v>27</v>
      </c>
      <c r="C36" s="335">
        <v>0</v>
      </c>
      <c r="D36" s="335">
        <v>0</v>
      </c>
      <c r="E36" s="335">
        <v>3</v>
      </c>
      <c r="F36" s="335">
        <v>123779</v>
      </c>
    </row>
    <row r="37" spans="1:6">
      <c r="A37" s="1286" t="s">
        <v>25</v>
      </c>
      <c r="B37" s="1286" t="s">
        <v>28</v>
      </c>
      <c r="C37" s="335">
        <v>0</v>
      </c>
      <c r="D37" s="335">
        <v>0</v>
      </c>
      <c r="E37" s="335">
        <v>0</v>
      </c>
      <c r="F37" s="335">
        <v>0</v>
      </c>
    </row>
    <row r="38" spans="1:6">
      <c r="A38" s="1286" t="s">
        <v>25</v>
      </c>
      <c r="B38" s="1286" t="s">
        <v>29</v>
      </c>
      <c r="C38" s="335">
        <v>1</v>
      </c>
      <c r="D38" s="335">
        <v>25533</v>
      </c>
      <c r="E38" s="335">
        <v>0</v>
      </c>
      <c r="F38" s="335">
        <v>0</v>
      </c>
    </row>
    <row r="39" spans="1:6">
      <c r="A39" s="1286" t="s">
        <v>30</v>
      </c>
      <c r="B39" s="1286" t="s">
        <v>31</v>
      </c>
      <c r="C39" s="335">
        <v>3307</v>
      </c>
      <c r="D39" s="335">
        <v>53489929</v>
      </c>
      <c r="E39" s="335">
        <v>5488</v>
      </c>
      <c r="F39" s="335">
        <v>21251300</v>
      </c>
    </row>
    <row r="40" spans="1:6">
      <c r="A40" s="1286" t="s">
        <v>30</v>
      </c>
      <c r="B40" s="1286" t="s">
        <v>29</v>
      </c>
      <c r="C40" s="335">
        <v>0</v>
      </c>
      <c r="D40" s="335">
        <v>0</v>
      </c>
      <c r="E40" s="335">
        <v>0</v>
      </c>
      <c r="F40" s="335">
        <v>0</v>
      </c>
    </row>
    <row r="41" spans="1:6">
      <c r="A41" s="1286" t="s">
        <v>32</v>
      </c>
      <c r="B41" s="1286" t="s">
        <v>33</v>
      </c>
      <c r="C41" s="335">
        <v>23</v>
      </c>
      <c r="D41" s="335">
        <v>660182</v>
      </c>
      <c r="E41" s="335">
        <v>62</v>
      </c>
      <c r="F41" s="335">
        <v>642337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147899</v>
      </c>
      <c r="E44" s="335">
        <v>17</v>
      </c>
      <c r="F44" s="335">
        <v>203865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95816</v>
      </c>
    </row>
    <row r="48" spans="1:6">
      <c r="A48" s="1286" t="s">
        <v>32</v>
      </c>
      <c r="B48" s="1286" t="s">
        <v>29</v>
      </c>
      <c r="C48" s="335">
        <v>3</v>
      </c>
      <c r="D48" s="335">
        <v>156722066</v>
      </c>
      <c r="E48" s="335">
        <v>6</v>
      </c>
      <c r="F48" s="335">
        <v>29024499</v>
      </c>
    </row>
    <row r="49" spans="1:6">
      <c r="A49" s="1286" t="s">
        <v>32</v>
      </c>
      <c r="B49" s="1286" t="s">
        <v>40</v>
      </c>
      <c r="C49" s="335">
        <v>0</v>
      </c>
      <c r="D49" s="335">
        <v>0</v>
      </c>
      <c r="E49" s="335">
        <v>0</v>
      </c>
      <c r="F49" s="335">
        <v>0</v>
      </c>
    </row>
    <row r="50" spans="1:6">
      <c r="A50" s="1286" t="s">
        <v>32</v>
      </c>
      <c r="B50" s="1286" t="s">
        <v>41</v>
      </c>
      <c r="C50" s="335">
        <v>11</v>
      </c>
      <c r="D50" s="335">
        <v>749182</v>
      </c>
      <c r="E50" s="335">
        <v>23</v>
      </c>
      <c r="F50" s="335">
        <v>777721</v>
      </c>
    </row>
    <row r="51" spans="1:6">
      <c r="A51" s="1286" t="s">
        <v>42</v>
      </c>
      <c r="B51" s="1286" t="s">
        <v>43</v>
      </c>
      <c r="C51" s="335">
        <v>5</v>
      </c>
      <c r="D51" s="335">
        <v>114633</v>
      </c>
      <c r="E51" s="335">
        <v>23</v>
      </c>
      <c r="F51" s="335">
        <v>237091</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821057</v>
      </c>
    </row>
    <row r="55" spans="1:6">
      <c r="A55" s="1286" t="s">
        <v>46</v>
      </c>
      <c r="B55" s="1286" t="s">
        <v>29</v>
      </c>
      <c r="C55" s="335">
        <v>0</v>
      </c>
      <c r="D55" s="335">
        <v>0</v>
      </c>
      <c r="E55" s="335">
        <v>0</v>
      </c>
      <c r="F55" s="335">
        <v>0</v>
      </c>
    </row>
    <row r="56" spans="1:6">
      <c r="A56" s="1286" t="s">
        <v>48</v>
      </c>
      <c r="B56" s="1286" t="s">
        <v>29</v>
      </c>
      <c r="C56" s="335">
        <v>49</v>
      </c>
      <c r="D56" s="335">
        <v>1801233</v>
      </c>
      <c r="E56" s="335">
        <v>83</v>
      </c>
      <c r="F56" s="335">
        <v>494329</v>
      </c>
    </row>
    <row r="57" spans="1:6">
      <c r="A57" s="1286" t="s">
        <v>49</v>
      </c>
      <c r="B57" s="1286" t="s">
        <v>50</v>
      </c>
      <c r="C57" s="335">
        <v>28</v>
      </c>
      <c r="D57" s="335">
        <v>3707840</v>
      </c>
      <c r="E57" s="335">
        <v>75</v>
      </c>
      <c r="F57" s="335">
        <v>1904093</v>
      </c>
    </row>
    <row r="58" spans="1:6">
      <c r="A58" s="1286" t="s">
        <v>49</v>
      </c>
      <c r="B58" s="1286" t="s">
        <v>51</v>
      </c>
      <c r="C58" s="335">
        <v>33</v>
      </c>
      <c r="D58" s="335">
        <v>10350043</v>
      </c>
      <c r="E58" s="335">
        <v>46</v>
      </c>
      <c r="F58" s="335">
        <v>3067957</v>
      </c>
    </row>
    <row r="59" spans="1:6">
      <c r="A59" s="1286" t="s">
        <v>49</v>
      </c>
      <c r="B59" s="1286" t="s">
        <v>52</v>
      </c>
      <c r="C59" s="335">
        <v>82</v>
      </c>
      <c r="D59" s="335">
        <v>3847611</v>
      </c>
      <c r="E59" s="335">
        <v>187</v>
      </c>
      <c r="F59" s="335">
        <v>4915221</v>
      </c>
    </row>
    <row r="60" spans="1:6">
      <c r="A60" s="1286" t="s">
        <v>49</v>
      </c>
      <c r="B60" s="1286" t="s">
        <v>53</v>
      </c>
      <c r="C60" s="335">
        <v>37</v>
      </c>
      <c r="D60" s="335">
        <v>1593211</v>
      </c>
      <c r="E60" s="335">
        <v>50</v>
      </c>
      <c r="F60" s="335">
        <v>998359</v>
      </c>
    </row>
    <row r="61" spans="1:6">
      <c r="A61" s="1286" t="s">
        <v>49</v>
      </c>
      <c r="B61" s="1286" t="s">
        <v>54</v>
      </c>
      <c r="C61" s="335">
        <v>93</v>
      </c>
      <c r="D61" s="335">
        <v>7916926</v>
      </c>
      <c r="E61" s="335">
        <v>303</v>
      </c>
      <c r="F61" s="335">
        <v>6322327</v>
      </c>
    </row>
    <row r="62" spans="1:6">
      <c r="A62" s="1286" t="s">
        <v>49</v>
      </c>
      <c r="B62" s="1286" t="s">
        <v>55</v>
      </c>
      <c r="C62" s="335">
        <v>3</v>
      </c>
      <c r="D62" s="335">
        <v>63956</v>
      </c>
      <c r="E62" s="335">
        <v>5</v>
      </c>
      <c r="F62" s="335">
        <v>267426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43882</v>
      </c>
      <c r="E65" s="335">
        <v>1</v>
      </c>
      <c r="F65" s="335">
        <v>30039</v>
      </c>
    </row>
    <row r="66" spans="1:6">
      <c r="A66" s="1286" t="s">
        <v>56</v>
      </c>
      <c r="B66" s="1286" t="s">
        <v>58</v>
      </c>
      <c r="C66" s="335">
        <v>0</v>
      </c>
      <c r="D66" s="335">
        <v>0</v>
      </c>
      <c r="E66" s="335">
        <v>0</v>
      </c>
      <c r="F66" s="335">
        <v>0</v>
      </c>
    </row>
    <row r="67" spans="1:6">
      <c r="A67" s="1287" t="s">
        <v>56</v>
      </c>
      <c r="B67" s="1287" t="s">
        <v>59</v>
      </c>
      <c r="C67" s="335">
        <v>0</v>
      </c>
      <c r="D67" s="335">
        <v>0</v>
      </c>
      <c r="E67" s="335">
        <v>3</v>
      </c>
      <c r="F67" s="335">
        <v>130482</v>
      </c>
    </row>
    <row r="68" spans="1:6">
      <c r="A68" s="1282" t="s">
        <v>56</v>
      </c>
      <c r="B68" s="1282" t="s">
        <v>60</v>
      </c>
      <c r="C68" s="335">
        <v>0</v>
      </c>
      <c r="D68" s="335">
        <v>0</v>
      </c>
      <c r="E68" s="335">
        <v>9</v>
      </c>
      <c r="F68" s="335">
        <v>160867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43013816</v>
      </c>
      <c r="E73" s="335">
        <v>48541452.905406341</v>
      </c>
    </row>
    <row r="74" spans="1:6">
      <c r="A74" s="1286" t="s">
        <v>64</v>
      </c>
      <c r="B74" s="1286" t="s">
        <v>772</v>
      </c>
      <c r="C74" s="1297" t="s">
        <v>766</v>
      </c>
      <c r="D74" s="335">
        <v>7290821.1466288073</v>
      </c>
      <c r="E74" s="335">
        <v>6827054.3581236834</v>
      </c>
    </row>
    <row r="75" spans="1:6">
      <c r="A75" s="1286" t="s">
        <v>65</v>
      </c>
      <c r="B75" s="1286" t="s">
        <v>771</v>
      </c>
      <c r="C75" s="1297" t="s">
        <v>767</v>
      </c>
      <c r="D75" s="335">
        <v>8186786</v>
      </c>
      <c r="E75" s="335">
        <v>9363279.3064684905</v>
      </c>
    </row>
    <row r="76" spans="1:6">
      <c r="A76" s="1286" t="s">
        <v>65</v>
      </c>
      <c r="B76" s="1286" t="s">
        <v>772</v>
      </c>
      <c r="C76" s="1297" t="s">
        <v>768</v>
      </c>
      <c r="D76" s="335">
        <v>71623.146628807372</v>
      </c>
      <c r="E76" s="335">
        <v>73298.333555585225</v>
      </c>
    </row>
    <row r="77" spans="1:6">
      <c r="A77" s="1286" t="s">
        <v>66</v>
      </c>
      <c r="B77" s="1286" t="s">
        <v>771</v>
      </c>
      <c r="C77" s="1297" t="s">
        <v>769</v>
      </c>
      <c r="D77" s="335">
        <v>41479920</v>
      </c>
      <c r="E77" s="335">
        <v>46692405.571513802</v>
      </c>
    </row>
    <row r="78" spans="1:6">
      <c r="A78" s="1282" t="s">
        <v>66</v>
      </c>
      <c r="B78" s="1282" t="s">
        <v>772</v>
      </c>
      <c r="C78" s="1282" t="s">
        <v>770</v>
      </c>
      <c r="D78" s="1282">
        <v>7564593</v>
      </c>
      <c r="E78" s="1282">
        <v>8253854.045692171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172451.70674238526</v>
      </c>
      <c r="C83" s="335">
        <v>165635.41651184906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1256.5650385046183</v>
      </c>
    </row>
    <row r="92" spans="1:6">
      <c r="A92" s="1282" t="s">
        <v>69</v>
      </c>
      <c r="B92" s="338">
        <v>6444.6399118820018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1564</v>
      </c>
    </row>
    <row r="98" spans="1:6">
      <c r="A98" s="1286" t="s">
        <v>72</v>
      </c>
      <c r="B98" s="335">
        <v>1</v>
      </c>
    </row>
    <row r="99" spans="1:6">
      <c r="A99" s="1286" t="s">
        <v>73</v>
      </c>
      <c r="B99" s="335">
        <v>32</v>
      </c>
    </row>
    <row r="100" spans="1:6">
      <c r="A100" s="1286" t="s">
        <v>74</v>
      </c>
      <c r="B100" s="335">
        <v>384</v>
      </c>
    </row>
    <row r="101" spans="1:6">
      <c r="A101" s="1286" t="s">
        <v>75</v>
      </c>
      <c r="B101" s="335">
        <v>26</v>
      </c>
    </row>
    <row r="102" spans="1:6">
      <c r="A102" s="1286" t="s">
        <v>76</v>
      </c>
      <c r="B102" s="335">
        <v>104</v>
      </c>
    </row>
    <row r="103" spans="1:6">
      <c r="A103" s="1286" t="s">
        <v>77</v>
      </c>
      <c r="B103" s="335">
        <v>207</v>
      </c>
    </row>
    <row r="104" spans="1:6">
      <c r="A104" s="1286" t="s">
        <v>78</v>
      </c>
      <c r="B104" s="335">
        <v>2809</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13</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72281.913039344479</v>
      </c>
      <c r="C3" s="44" t="s">
        <v>170</v>
      </c>
      <c r="D3" s="44"/>
      <c r="E3" s="157"/>
      <c r="F3" s="44"/>
      <c r="G3" s="44"/>
      <c r="H3" s="44"/>
      <c r="I3" s="44"/>
      <c r="J3" s="44"/>
      <c r="K3" s="97"/>
    </row>
    <row r="4" spans="1:11">
      <c r="A4" s="365" t="s">
        <v>171</v>
      </c>
      <c r="B4" s="50">
        <f>IF(ISERROR('SEAP template'!B78+'SEAP template'!C78),0,'SEAP template'!B78+'SEAP template'!C78)</f>
        <v>7701.2049503866201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0.19745377353102112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821.05700000000002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821.05700000000002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0.19745377353102112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162.12080293405961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21251.3</v>
      </c>
      <c r="C5" s="18">
        <f>IF(ISERROR('Eigen informatie GS &amp; warmtenet'!B57),0,'Eigen informatie GS &amp; warmtenet'!B57)</f>
        <v>0</v>
      </c>
      <c r="D5" s="31">
        <f>(SUM(HH_hh_gas_kWh,HH_rest_gas_kWh)/1000)*0.902</f>
        <v>48247.915957999998</v>
      </c>
      <c r="E5" s="18">
        <f>B46*B57</f>
        <v>1376.828169790276</v>
      </c>
      <c r="F5" s="18">
        <f>B51*B62</f>
        <v>24483.378484436871</v>
      </c>
      <c r="G5" s="19"/>
      <c r="H5" s="18"/>
      <c r="I5" s="18"/>
      <c r="J5" s="18">
        <f>B50*B61+C50*C61</f>
        <v>1031.9145154633793</v>
      </c>
      <c r="K5" s="18"/>
      <c r="L5" s="18"/>
      <c r="M5" s="18"/>
      <c r="N5" s="18">
        <f>B48*B59+C48*C59</f>
        <v>3632.9376735128171</v>
      </c>
      <c r="O5" s="18">
        <f>B69*B70*B71</f>
        <v>20.323333333333334</v>
      </c>
      <c r="P5" s="18">
        <f>B77*B78*B79/1000-B77*B78*B79/1000/B80</f>
        <v>19.066666666666666</v>
      </c>
    </row>
    <row r="6" spans="1:16">
      <c r="A6" s="17" t="s">
        <v>639</v>
      </c>
      <c r="B6" s="780">
        <f>kWh_PV_kleiner_dan_10kW</f>
        <v>1256.5650385046183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22507.865038504617</v>
      </c>
      <c r="C8" s="22">
        <f>C5</f>
        <v>0</v>
      </c>
      <c r="D8" s="22">
        <f>D5</f>
        <v>48247.915957999998</v>
      </c>
      <c r="E8" s="22">
        <f>E5</f>
        <v>1376.828169790276</v>
      </c>
      <c r="F8" s="22">
        <f>F5</f>
        <v>24483.378484436871</v>
      </c>
      <c r="G8" s="22"/>
      <c r="H8" s="22"/>
      <c r="I8" s="22"/>
      <c r="J8" s="22">
        <f>J5</f>
        <v>1031.9145154633793</v>
      </c>
      <c r="K8" s="22"/>
      <c r="L8" s="22">
        <f>L5</f>
        <v>0</v>
      </c>
      <c r="M8" s="22">
        <f>M5</f>
        <v>0</v>
      </c>
      <c r="N8" s="22">
        <f>N5</f>
        <v>3632.9376735128171</v>
      </c>
      <c r="O8" s="22">
        <f>O5</f>
        <v>20.323333333333334</v>
      </c>
      <c r="P8" s="22">
        <f>P5</f>
        <v>19.066666666666666</v>
      </c>
    </row>
    <row r="9" spans="1:16">
      <c r="B9" s="20"/>
      <c r="C9" s="20"/>
      <c r="D9" s="262"/>
      <c r="E9" s="20"/>
      <c r="F9" s="20"/>
      <c r="G9" s="20"/>
      <c r="H9" s="20"/>
      <c r="I9" s="20"/>
      <c r="J9" s="20"/>
      <c r="K9" s="20"/>
      <c r="L9" s="20"/>
      <c r="M9" s="20"/>
      <c r="N9" s="20"/>
      <c r="O9" s="20"/>
      <c r="P9" s="20"/>
    </row>
    <row r="10" spans="1:16">
      <c r="A10" s="25" t="s">
        <v>214</v>
      </c>
      <c r="B10" s="26">
        <f ca="1">'EF ele_warmte'!B12</f>
        <v>0.19745377353102112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4444.2628859796787</v>
      </c>
      <c r="C12" s="24">
        <f ca="1">C10*C8</f>
        <v>0</v>
      </c>
      <c r="D12" s="24">
        <f>D8*D10</f>
        <v>9746.0790235160002</v>
      </c>
      <c r="E12" s="24">
        <f>E10*E8</f>
        <v>312.53999454239266</v>
      </c>
      <c r="F12" s="24">
        <f>F10*F8</f>
        <v>6537.0620553446452</v>
      </c>
      <c r="G12" s="24"/>
      <c r="H12" s="24"/>
      <c r="I12" s="24"/>
      <c r="J12" s="24">
        <f>J10*J8</f>
        <v>365.29773847403624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1564</v>
      </c>
      <c r="C18" s="169" t="s">
        <v>111</v>
      </c>
      <c r="D18" s="231"/>
      <c r="E18" s="16"/>
    </row>
    <row r="19" spans="1:7">
      <c r="A19" s="174" t="s">
        <v>72</v>
      </c>
      <c r="B19" s="38">
        <f>aantalw2001_ander</f>
        <v>1</v>
      </c>
      <c r="C19" s="169" t="s">
        <v>111</v>
      </c>
      <c r="D19" s="232"/>
      <c r="E19" s="16"/>
    </row>
    <row r="20" spans="1:7">
      <c r="A20" s="174" t="s">
        <v>73</v>
      </c>
      <c r="B20" s="38">
        <f>aantalw2001_propaan</f>
        <v>32</v>
      </c>
      <c r="C20" s="170">
        <f>IF(ISERROR(B20/SUM($B$20,$B$21,$B$22)*100),0,B20/SUM($B$20,$B$21,$B$22)*100)</f>
        <v>7.2398190045248878</v>
      </c>
      <c r="D20" s="232"/>
      <c r="E20" s="16"/>
    </row>
    <row r="21" spans="1:7">
      <c r="A21" s="174" t="s">
        <v>74</v>
      </c>
      <c r="B21" s="38">
        <f>aantalw2001_elektriciteit</f>
        <v>384</v>
      </c>
      <c r="C21" s="170">
        <f>IF(ISERROR(B21/SUM($B$20,$B$21,$B$22)*100),0,B21/SUM($B$20,$B$21,$B$22)*100)</f>
        <v>86.877828054298647</v>
      </c>
      <c r="D21" s="232"/>
      <c r="E21" s="16"/>
    </row>
    <row r="22" spans="1:7">
      <c r="A22" s="174" t="s">
        <v>75</v>
      </c>
      <c r="B22" s="38">
        <f>aantalw2001_hout</f>
        <v>26</v>
      </c>
      <c r="C22" s="170">
        <f>IF(ISERROR(B22/SUM($B$20,$B$21,$B$22)*100),0,B22/SUM($B$20,$B$21,$B$22)*100)</f>
        <v>5.8823529411764701</v>
      </c>
      <c r="D22" s="232"/>
      <c r="E22" s="16"/>
    </row>
    <row r="23" spans="1:7">
      <c r="A23" s="174" t="s">
        <v>76</v>
      </c>
      <c r="B23" s="38">
        <f>aantalw2001_niet_gespec</f>
        <v>104</v>
      </c>
      <c r="C23" s="169" t="s">
        <v>111</v>
      </c>
      <c r="D23" s="231"/>
      <c r="E23" s="16"/>
    </row>
    <row r="24" spans="1:7">
      <c r="A24" s="174" t="s">
        <v>77</v>
      </c>
      <c r="B24" s="38">
        <f>aantalw2001_steenkool</f>
        <v>207</v>
      </c>
      <c r="C24" s="169" t="s">
        <v>111</v>
      </c>
      <c r="D24" s="232"/>
      <c r="E24" s="16"/>
    </row>
    <row r="25" spans="1:7">
      <c r="A25" s="174" t="s">
        <v>78</v>
      </c>
      <c r="B25" s="38">
        <f>aantalw2001_stookolie</f>
        <v>2809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5444</v>
      </c>
      <c r="C28" s="37"/>
      <c r="D28" s="231"/>
    </row>
    <row r="29" spans="1:7" s="16" customFormat="1">
      <c r="A29" s="233" t="s">
        <v>666</v>
      </c>
      <c r="B29" s="38">
        <f>SUM(HH_hh_gas_aantal,HH_rest_gas_aantal)</f>
        <v>3307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3307</v>
      </c>
      <c r="C32" s="170">
        <f>IF(ISERROR(B32/SUM($B$32,$B$34,$B$35,$B$36,$B$38,$B$39)*100),0,B32/SUM($B$32,$B$34,$B$35,$B$36,$B$38,$B$39)*100)</f>
        <v>60.756935513503585</v>
      </c>
      <c r="D32" s="236"/>
      <c r="G32" s="16"/>
    </row>
    <row r="33" spans="1:7">
      <c r="A33" s="174" t="s">
        <v>72</v>
      </c>
      <c r="B33" s="35" t="s">
        <v>111</v>
      </c>
      <c r="C33" s="170"/>
      <c r="D33" s="236"/>
      <c r="G33" s="16"/>
    </row>
    <row r="34" spans="1:7">
      <c r="A34" s="174" t="s">
        <v>73</v>
      </c>
      <c r="B34" s="34">
        <f>IF((($B$28-$B$32-$B$39-$B$77-$B$38)*C20/100)&lt;0,0,($B$28-$B$32-$B$39-$B$77-$B$38)*C20/100)</f>
        <v>62.479638009049786</v>
      </c>
      <c r="C34" s="170">
        <f>IF(ISERROR(B34/SUM($B$32,$B$34,$B$35,$B$36,$B$38,$B$39)*100),0,B34/SUM($B$32,$B$34,$B$35,$B$36,$B$38,$B$39)*100)</f>
        <v>1.1478897300946131</v>
      </c>
      <c r="D34" s="236"/>
      <c r="G34" s="16"/>
    </row>
    <row r="35" spans="1:7">
      <c r="A35" s="174" t="s">
        <v>74</v>
      </c>
      <c r="B35" s="34">
        <f>IF((($B$28-$B$32-$B$39-$B$77-$B$38)*C21/100)&lt;0,0,($B$28-$B$32-$B$39-$B$77-$B$38)*C21/100)</f>
        <v>749.75565610859735</v>
      </c>
      <c r="C35" s="170">
        <f>IF(ISERROR(B35/SUM($B$32,$B$34,$B$35,$B$36,$B$38,$B$39)*100),0,B35/SUM($B$32,$B$34,$B$35,$B$36,$B$38,$B$39)*100)</f>
        <v>13.774676761135355</v>
      </c>
      <c r="D35" s="236"/>
      <c r="G35" s="16"/>
    </row>
    <row r="36" spans="1:7">
      <c r="A36" s="174" t="s">
        <v>75</v>
      </c>
      <c r="B36" s="34">
        <f>IF((($B$28-$B$32-$B$39-$B$77-$B$38)*C22/100)&lt;0,0,($B$28-$B$32-$B$39-$B$77-$B$38)*C22/100)</f>
        <v>50.764705882352935</v>
      </c>
      <c r="C36" s="170">
        <f>IF(ISERROR(B36/SUM($B$32,$B$34,$B$35,$B$36,$B$38,$B$39)*100),0,B36/SUM($B$32,$B$34,$B$35,$B$36,$B$38,$B$39)*100)</f>
        <v>0.9326604057018727</v>
      </c>
      <c r="D36" s="236"/>
      <c r="G36" s="16"/>
    </row>
    <row r="37" spans="1:7">
      <c r="A37" s="174" t="s">
        <v>76</v>
      </c>
      <c r="B37" s="35" t="s">
        <v>111</v>
      </c>
      <c r="C37" s="170"/>
      <c r="D37" s="176"/>
      <c r="G37" s="16"/>
    </row>
    <row r="38" spans="1:7">
      <c r="A38" s="174" t="s">
        <v>77</v>
      </c>
      <c r="B38" s="34">
        <f>IF((B24-(B29-B18)*0.1)&lt;0,0,B24-(B29-B18)*0.1)</f>
        <v>32.699999999999989</v>
      </c>
      <c r="C38" s="170">
        <f>IF(ISERROR(B38/SUM($B$32,$B$34,$B$35,$B$36,$B$38,$B$39)*100),0,B38/SUM($B$32,$B$34,$B$35,$B$36,$B$38,$B$39)*100)</f>
        <v>0.60077163329046468</v>
      </c>
      <c r="D38" s="237"/>
      <c r="G38" s="16"/>
    </row>
    <row r="39" spans="1:7">
      <c r="A39" s="174" t="s">
        <v>78</v>
      </c>
      <c r="B39" s="34">
        <f>IF((B25-(B29-B18))&lt;0,0,B25-(B29-B18)*0.9)</f>
        <v>1240.3</v>
      </c>
      <c r="C39" s="170">
        <f>IF(ISERROR(B39/SUM($B$32,$B$34,$B$35,$B$36,$B$38,$B$39)*100),0,B39/SUM($B$32,$B$34,$B$35,$B$36,$B$38,$B$39)*100)</f>
        <v>22.787065956274112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3307</v>
      </c>
      <c r="C44" s="35" t="s">
        <v>111</v>
      </c>
      <c r="D44" s="177"/>
    </row>
    <row r="45" spans="1:7">
      <c r="A45" s="174" t="s">
        <v>72</v>
      </c>
      <c r="B45" s="34" t="str">
        <f t="shared" si="0"/>
        <v>-</v>
      </c>
      <c r="C45" s="35" t="s">
        <v>111</v>
      </c>
      <c r="D45" s="177"/>
    </row>
    <row r="46" spans="1:7">
      <c r="A46" s="174" t="s">
        <v>73</v>
      </c>
      <c r="B46" s="34">
        <f t="shared" si="0"/>
        <v>62.479638009049786</v>
      </c>
      <c r="C46" s="35" t="s">
        <v>111</v>
      </c>
      <c r="D46" s="177"/>
    </row>
    <row r="47" spans="1:7">
      <c r="A47" s="174" t="s">
        <v>74</v>
      </c>
      <c r="B47" s="34">
        <f t="shared" si="0"/>
        <v>749.75565610859735</v>
      </c>
      <c r="C47" s="35" t="s">
        <v>111</v>
      </c>
      <c r="D47" s="177"/>
    </row>
    <row r="48" spans="1:7">
      <c r="A48" s="174" t="s">
        <v>75</v>
      </c>
      <c r="B48" s="34">
        <f t="shared" si="0"/>
        <v>50.764705882352935</v>
      </c>
      <c r="C48" s="34">
        <f>B48*10</f>
        <v>507.64705882352933</v>
      </c>
      <c r="D48" s="237"/>
    </row>
    <row r="49" spans="1:6">
      <c r="A49" s="174" t="s">
        <v>76</v>
      </c>
      <c r="B49" s="34" t="str">
        <f t="shared" si="0"/>
        <v>-</v>
      </c>
      <c r="C49" s="35" t="s">
        <v>111</v>
      </c>
      <c r="D49" s="237"/>
    </row>
    <row r="50" spans="1:6">
      <c r="A50" s="174" t="s">
        <v>77</v>
      </c>
      <c r="B50" s="34">
        <f t="shared" si="0"/>
        <v>32.699999999999989</v>
      </c>
      <c r="C50" s="34">
        <f>B50*2</f>
        <v>65.399999999999977</v>
      </c>
      <c r="D50" s="237"/>
    </row>
    <row r="51" spans="1:6">
      <c r="A51" s="174" t="s">
        <v>78</v>
      </c>
      <c r="B51" s="34">
        <f t="shared" si="0"/>
        <v>1240.3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17475.382999999998</v>
      </c>
      <c r="C5" s="18">
        <f>IF(ISERROR('Eigen informatie GS &amp; warmtenet'!B58),0,'Eigen informatie GS &amp; warmtenet'!B58)</f>
        <v>0</v>
      </c>
      <c r="D5" s="31">
        <f>SUM(D6:D12)</f>
        <v>24786.587473999996</v>
      </c>
      <c r="E5" s="18">
        <f>SUM(E6:E12)</f>
        <v>107.43549101872212</v>
      </c>
      <c r="F5" s="18">
        <f>SUM(F6:F12)</f>
        <v>3700.0026197201319</v>
      </c>
      <c r="G5" s="19"/>
      <c r="H5" s="18"/>
      <c r="I5" s="18"/>
      <c r="J5" s="18">
        <f>SUM(J6:J12)</f>
        <v>0</v>
      </c>
      <c r="K5" s="18"/>
      <c r="L5" s="18"/>
      <c r="M5" s="18"/>
      <c r="N5" s="18">
        <f>SUM(N6:N12)</f>
        <v>1151.5416429151824</v>
      </c>
      <c r="O5" s="18">
        <f>B38*B39*B40</f>
        <v>0</v>
      </c>
      <c r="P5" s="18">
        <f>B46*B47*B48/1000-B46*B47*B48/1000/B49</f>
        <v>0</v>
      </c>
      <c r="R5" s="33"/>
    </row>
    <row r="6" spans="1:18">
      <c r="A6" s="33" t="s">
        <v>54</v>
      </c>
      <c r="B6" s="38">
        <f>B26</f>
        <v>6322.3270000000002</v>
      </c>
      <c r="C6" s="34"/>
      <c r="D6" s="38">
        <f>IF(ISERROR(TER_kantoor_gas_kWh/1000),0,TER_kantoor_gas_kWh/1000)*0.902</f>
        <v>7141.0672520000007</v>
      </c>
      <c r="E6" s="34">
        <f>$C$26*'E Balans VL '!I12/100/3.6*1000000</f>
        <v>10.376219989992252</v>
      </c>
      <c r="F6" s="34">
        <f>$C$26*('E Balans VL '!L12+'E Balans VL '!N12)/100/3.6*1000000</f>
        <v>745.25359702383184</v>
      </c>
      <c r="G6" s="35"/>
      <c r="H6" s="34"/>
      <c r="I6" s="34"/>
      <c r="J6" s="34">
        <f>$C$26*('E Balans VL '!D12+'E Balans VL '!E12)/100/3.6*1000000</f>
        <v>0</v>
      </c>
      <c r="K6" s="34"/>
      <c r="L6" s="34"/>
      <c r="M6" s="34"/>
      <c r="N6" s="34">
        <f>$C$26*'E Balans VL '!Y12/100/3.6*1000000</f>
        <v>1.2773962316806544</v>
      </c>
      <c r="O6" s="34"/>
      <c r="P6" s="34"/>
      <c r="R6" s="33"/>
    </row>
    <row r="7" spans="1:18">
      <c r="A7" s="33" t="s">
        <v>53</v>
      </c>
      <c r="B7" s="38">
        <f t="shared" ref="B7:B12" si="0">B27</f>
        <v>998.35900000000004</v>
      </c>
      <c r="C7" s="34"/>
      <c r="D7" s="38">
        <f>IF(ISERROR(TER_horeca_gas_kWh/1000),0,TER_horeca_gas_kWh/1000)*0.902</f>
        <v>1437.0763220000001</v>
      </c>
      <c r="E7" s="34">
        <f>$C$27*'E Balans VL '!I9/100/3.6*1000000</f>
        <v>51.807607819682154</v>
      </c>
      <c r="F7" s="34">
        <f>$C$27*('E Balans VL '!L9+'E Balans VL '!N9)/100/3.6*1000000</f>
        <v>227.82624821288073</v>
      </c>
      <c r="G7" s="35"/>
      <c r="H7" s="34"/>
      <c r="I7" s="34"/>
      <c r="J7" s="34">
        <f>$C$27*('E Balans VL '!D9+'E Balans VL '!E9)/100/3.6*1000000</f>
        <v>0</v>
      </c>
      <c r="K7" s="34"/>
      <c r="L7" s="34"/>
      <c r="M7" s="34"/>
      <c r="N7" s="34">
        <f>$C$27*'E Balans VL '!Y9/100/3.6*1000000</f>
        <v>0.10542625288202792</v>
      </c>
      <c r="O7" s="34"/>
      <c r="P7" s="34"/>
      <c r="R7" s="33"/>
    </row>
    <row r="8" spans="1:18">
      <c r="A8" s="6" t="s">
        <v>52</v>
      </c>
      <c r="B8" s="38">
        <f t="shared" si="0"/>
        <v>4915.2209999999995</v>
      </c>
      <c r="C8" s="34"/>
      <c r="D8" s="38">
        <f>IF(ISERROR(TER_handel_gas_kWh/1000),0,TER_handel_gas_kWh/1000)*0.902</f>
        <v>3470.545122</v>
      </c>
      <c r="E8" s="34">
        <f>$C$28*'E Balans VL '!I13/100/3.6*1000000</f>
        <v>26.469069085382753</v>
      </c>
      <c r="F8" s="34">
        <f>$C$28*('E Balans VL '!L13+'E Balans VL '!N13)/100/3.6*1000000</f>
        <v>1002.3596291123189</v>
      </c>
      <c r="G8" s="35"/>
      <c r="H8" s="34"/>
      <c r="I8" s="34"/>
      <c r="J8" s="34">
        <f>$C$28*('E Balans VL '!D13+'E Balans VL '!E13)/100/3.6*1000000</f>
        <v>0</v>
      </c>
      <c r="K8" s="34"/>
      <c r="L8" s="34"/>
      <c r="M8" s="34"/>
      <c r="N8" s="34">
        <f>$C$28*'E Balans VL '!Y13/100/3.6*1000000</f>
        <v>24.440798379156885</v>
      </c>
      <c r="O8" s="34"/>
      <c r="P8" s="34"/>
      <c r="R8" s="33"/>
    </row>
    <row r="9" spans="1:18">
      <c r="A9" s="33" t="s">
        <v>51</v>
      </c>
      <c r="B9" s="38">
        <f t="shared" si="0"/>
        <v>3067.9569999999999</v>
      </c>
      <c r="C9" s="34"/>
      <c r="D9" s="38">
        <f>IF(ISERROR(TER_gezond_gas_kWh/1000),0,TER_gezond_gas_kWh/1000)*0.902</f>
        <v>9335.7387859999999</v>
      </c>
      <c r="E9" s="34">
        <f>$C$29*'E Balans VL '!I10/100/3.6*1000000</f>
        <v>3.0403802756626139</v>
      </c>
      <c r="F9" s="34">
        <f>$C$29*('E Balans VL '!L10+'E Balans VL '!N10)/100/3.6*1000000</f>
        <v>1064.492648532053</v>
      </c>
      <c r="G9" s="35"/>
      <c r="H9" s="34"/>
      <c r="I9" s="34"/>
      <c r="J9" s="34">
        <f>$C$29*('E Balans VL '!D10+'E Balans VL '!E10)/100/3.6*1000000</f>
        <v>0</v>
      </c>
      <c r="K9" s="34"/>
      <c r="L9" s="34"/>
      <c r="M9" s="34"/>
      <c r="N9" s="34">
        <f>$C$29*'E Balans VL '!Y10/100/3.6*1000000</f>
        <v>26.436319693159302</v>
      </c>
      <c r="O9" s="34"/>
      <c r="P9" s="34"/>
      <c r="R9" s="33"/>
    </row>
    <row r="10" spans="1:18">
      <c r="A10" s="33" t="s">
        <v>50</v>
      </c>
      <c r="B10" s="38">
        <f t="shared" si="0"/>
        <v>1904.0930000000001</v>
      </c>
      <c r="C10" s="34"/>
      <c r="D10" s="38">
        <f>IF(ISERROR(TER_ander_gas_kWh/1000),0,TER_ander_gas_kWh/1000)*0.902</f>
        <v>3344.4716800000001</v>
      </c>
      <c r="E10" s="34">
        <f>$C$30*'E Balans VL '!I14/100/3.6*1000000</f>
        <v>15.577383745425569</v>
      </c>
      <c r="F10" s="34">
        <f>$C$30*('E Balans VL '!L14+'E Balans VL '!N14)/100/3.6*1000000</f>
        <v>556.6792743634112</v>
      </c>
      <c r="G10" s="35"/>
      <c r="H10" s="34"/>
      <c r="I10" s="34"/>
      <c r="J10" s="34">
        <f>$C$30*('E Balans VL '!D14+'E Balans VL '!E14)/100/3.6*1000000</f>
        <v>0</v>
      </c>
      <c r="K10" s="34"/>
      <c r="L10" s="34"/>
      <c r="M10" s="34"/>
      <c r="N10" s="34">
        <f>$C$30*'E Balans VL '!Y14/100/3.6*1000000</f>
        <v>1098.4118228884715</v>
      </c>
      <c r="O10" s="34"/>
      <c r="P10" s="34"/>
      <c r="R10" s="33"/>
    </row>
    <row r="11" spans="1:18">
      <c r="A11" s="33" t="s">
        <v>55</v>
      </c>
      <c r="B11" s="38">
        <f t="shared" si="0"/>
        <v>267.42599999999999</v>
      </c>
      <c r="C11" s="34"/>
      <c r="D11" s="38">
        <f>IF(ISERROR(TER_onderwijs_gas_kWh/1000),0,TER_onderwijs_gas_kWh/1000)*0.902</f>
        <v>57.688312000000003</v>
      </c>
      <c r="E11" s="34">
        <f>$C$31*'E Balans VL '!I11/100/3.6*1000000</f>
        <v>0.16483010257678152</v>
      </c>
      <c r="F11" s="34">
        <f>$C$31*('E Balans VL '!L11+'E Balans VL '!N11)/100/3.6*1000000</f>
        <v>103.39122247563618</v>
      </c>
      <c r="G11" s="35"/>
      <c r="H11" s="34"/>
      <c r="I11" s="34"/>
      <c r="J11" s="34">
        <f>$C$31*('E Balans VL '!D11+'E Balans VL '!E11)/100/3.6*1000000</f>
        <v>0</v>
      </c>
      <c r="K11" s="34"/>
      <c r="L11" s="34"/>
      <c r="M11" s="34"/>
      <c r="N11" s="34">
        <f>$C$31*'E Balans VL '!Y11/100/3.6*1000000</f>
        <v>0.86987946983181208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17475.382999999998</v>
      </c>
      <c r="C16" s="22">
        <f t="shared" ca="1" si="1"/>
        <v>0</v>
      </c>
      <c r="D16" s="22">
        <f t="shared" ca="1" si="1"/>
        <v>24786.587473999996</v>
      </c>
      <c r="E16" s="22">
        <f t="shared" si="1"/>
        <v>107.43549101872212</v>
      </c>
      <c r="F16" s="22">
        <f t="shared" ca="1" si="1"/>
        <v>3700.0026197201319</v>
      </c>
      <c r="G16" s="22">
        <f t="shared" si="1"/>
        <v>0</v>
      </c>
      <c r="H16" s="22">
        <f t="shared" si="1"/>
        <v>0</v>
      </c>
      <c r="I16" s="22">
        <f t="shared" si="1"/>
        <v>0</v>
      </c>
      <c r="J16" s="22">
        <f t="shared" si="1"/>
        <v>0</v>
      </c>
      <c r="K16" s="22">
        <f t="shared" si="1"/>
        <v>0</v>
      </c>
      <c r="L16" s="22">
        <f t="shared" ca="1" si="1"/>
        <v>0</v>
      </c>
      <c r="M16" s="22">
        <f t="shared" si="1"/>
        <v>0</v>
      </c>
      <c r="N16" s="22">
        <f t="shared" ca="1" si="1"/>
        <v>1151.5416429151824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0.19745377353102112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3450.5803172498559</v>
      </c>
      <c r="C20" s="24">
        <f t="shared" ref="C20:P20" ca="1" si="2">C16*C18</f>
        <v>0</v>
      </c>
      <c r="D20" s="24">
        <f t="shared" ca="1" si="2"/>
        <v>5006.8906697479997</v>
      </c>
      <c r="E20" s="24">
        <f t="shared" si="2"/>
        <v>24.387856461249921</v>
      </c>
      <c r="F20" s="24">
        <f t="shared" ca="1" si="2"/>
        <v>987.90069946527524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6322.3270000000002</v>
      </c>
      <c r="C26" s="40">
        <f>IF(ISERROR(B26*3.6/1000000/'E Balans VL '!Z12*100),0,B26*3.6/1000000/'E Balans VL '!Z12*100)</f>
        <v>0.1343449148130399</v>
      </c>
      <c r="D26" s="240" t="s">
        <v>707</v>
      </c>
      <c r="F26" s="6"/>
    </row>
    <row r="27" spans="1:18">
      <c r="A27" s="234" t="s">
        <v>53</v>
      </c>
      <c r="B27" s="34">
        <f>IF(ISERROR(TER_horeca_ele_kWh/1000),0,TER_horeca_ele_kWh/1000)</f>
        <v>998.35900000000004</v>
      </c>
      <c r="C27" s="40">
        <f>IF(ISERROR(B27*3.6/1000000/'E Balans VL '!Z9*100),0,B27*3.6/1000000/'E Balans VL '!Z9*100)</f>
        <v>7.8578573576666783E-2</v>
      </c>
      <c r="D27" s="240" t="s">
        <v>707</v>
      </c>
      <c r="F27" s="6"/>
    </row>
    <row r="28" spans="1:18">
      <c r="A28" s="174" t="s">
        <v>52</v>
      </c>
      <c r="B28" s="34">
        <f>IF(ISERROR(TER_handel_ele_kWh/1000),0,TER_handel_ele_kWh/1000)</f>
        <v>4915.2209999999995</v>
      </c>
      <c r="C28" s="40">
        <f>IF(ISERROR(B28*3.6/1000000/'E Balans VL '!Z13*100),0,B28*3.6/1000000/'E Balans VL '!Z13*100)</f>
        <v>0.13767797073242691</v>
      </c>
      <c r="D28" s="240" t="s">
        <v>707</v>
      </c>
      <c r="F28" s="6"/>
    </row>
    <row r="29" spans="1:18">
      <c r="A29" s="234" t="s">
        <v>51</v>
      </c>
      <c r="B29" s="34">
        <f>IF(ISERROR(TER_gezond_ele_kWh/1000),0,TER_gezond_ele_kWh/1000)</f>
        <v>3067.9569999999999</v>
      </c>
      <c r="C29" s="40">
        <f>IF(ISERROR(B29*3.6/1000000/'E Balans VL '!Z10*100),0,B29*3.6/1000000/'E Balans VL '!Z10*100)</f>
        <v>0.39248447158337302</v>
      </c>
      <c r="D29" s="240" t="s">
        <v>707</v>
      </c>
      <c r="F29" s="6"/>
    </row>
    <row r="30" spans="1:18">
      <c r="A30" s="234" t="s">
        <v>50</v>
      </c>
      <c r="B30" s="34">
        <f>IF(ISERROR(TER_ander_ele_kWh/1000),0,TER_ander_ele_kWh/1000)</f>
        <v>1904.0930000000001</v>
      </c>
      <c r="C30" s="40">
        <f>IF(ISERROR(B30*3.6/1000000/'E Balans VL '!Z14*100),0,B30*3.6/1000000/'E Balans VL '!Z14*100)</f>
        <v>0.14241011223210803</v>
      </c>
      <c r="D30" s="240" t="s">
        <v>707</v>
      </c>
      <c r="F30" s="6"/>
    </row>
    <row r="31" spans="1:18">
      <c r="A31" s="234" t="s">
        <v>55</v>
      </c>
      <c r="B31" s="34">
        <f>IF(ISERROR(TER_onderwijs_ele_kWh/1000),0,TER_onderwijs_ele_kWh/1000)</f>
        <v>267.42599999999999</v>
      </c>
      <c r="C31" s="40">
        <f>IF(ISERROR(B31*3.6/1000000/'E Balans VL '!Z11*100),0,B31*3.6/1000000/'E Balans VL '!Z11*100)</f>
        <v>5.6467346305213377E-2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30744.238000000001</v>
      </c>
      <c r="C5" s="18">
        <f>IF(ISERROR('Eigen informatie GS &amp; warmtenet'!B59),0,'Eigen informatie GS &amp; warmtenet'!B59)</f>
        <v>0</v>
      </c>
      <c r="D5" s="31">
        <f>SUM(D6:D15)</f>
        <v>142767.95475799998</v>
      </c>
      <c r="E5" s="18">
        <f>SUM(E6:E15)</f>
        <v>277.28520748491837</v>
      </c>
      <c r="F5" s="18">
        <f>SUM(F6:F15)</f>
        <v>6355.6188570494496</v>
      </c>
      <c r="G5" s="19"/>
      <c r="H5" s="18"/>
      <c r="I5" s="18"/>
      <c r="J5" s="18">
        <f>SUM(J6:J15)</f>
        <v>149.36445483172355</v>
      </c>
      <c r="K5" s="18"/>
      <c r="L5" s="18"/>
      <c r="M5" s="18"/>
      <c r="N5" s="18">
        <f>SUM(N6:N15)</f>
        <v>987.11694385205055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203.86500000000001</v>
      </c>
      <c r="C8" s="34"/>
      <c r="D8" s="38">
        <f>IF( ISERROR(IND_metaal_Gas_kWH/1000),0,IND_metaal_Gas_kWH/1000)*0.902</f>
        <v>133.404898</v>
      </c>
      <c r="E8" s="34">
        <f>C30*'E Balans VL '!I18/100/3.6*1000000</f>
        <v>1.8565618160083637</v>
      </c>
      <c r="F8" s="34">
        <f>C30*'E Balans VL '!L18/100/3.6*1000000+C30*'E Balans VL '!N18/100/3.6*1000000</f>
        <v>26.888245322599222</v>
      </c>
      <c r="G8" s="35"/>
      <c r="H8" s="34"/>
      <c r="I8" s="34"/>
      <c r="J8" s="41">
        <f>C30*'E Balans VL '!D18/100/3.6*1000000+C30*'E Balans VL '!E18/100/3.6*1000000</f>
        <v>3.3430899986786891</v>
      </c>
      <c r="K8" s="34"/>
      <c r="L8" s="34"/>
      <c r="M8" s="34"/>
      <c r="N8" s="34">
        <f>C30*'E Balans VL '!Y18/100/3.6*1000000</f>
        <v>0.70060301983649276</v>
      </c>
      <c r="O8" s="34"/>
      <c r="P8" s="34"/>
      <c r="R8" s="33"/>
    </row>
    <row r="9" spans="1:18">
      <c r="A9" s="6" t="s">
        <v>33</v>
      </c>
      <c r="B9" s="38">
        <f t="shared" si="0"/>
        <v>642.33699999999999</v>
      </c>
      <c r="C9" s="34"/>
      <c r="D9" s="38">
        <f>IF( ISERROR(IND_andere_gas_kWh/1000),0,IND_andere_gas_kWh/1000)*0.902</f>
        <v>595.48416400000008</v>
      </c>
      <c r="E9" s="34">
        <f>C31*'E Balans VL '!I19/100/3.6*1000000</f>
        <v>3.7128038493250859</v>
      </c>
      <c r="F9" s="34">
        <f>C31*'E Balans VL '!L19/100/3.6*1000000+C31*'E Balans VL '!N19/100/3.6*1000000</f>
        <v>511.00999153336409</v>
      </c>
      <c r="G9" s="35"/>
      <c r="H9" s="34"/>
      <c r="I9" s="34"/>
      <c r="J9" s="41">
        <f>C31*'E Balans VL '!D19/100/3.6*1000000+C31*'E Balans VL '!E19/100/3.6*1000000</f>
        <v>6.0757945322690812E-2</v>
      </c>
      <c r="K9" s="34"/>
      <c r="L9" s="34"/>
      <c r="M9" s="34"/>
      <c r="N9" s="34">
        <f>C31*'E Balans VL '!Y19/100/3.6*1000000</f>
        <v>48.66674843317935</v>
      </c>
      <c r="O9" s="34"/>
      <c r="P9" s="34"/>
      <c r="R9" s="33"/>
    </row>
    <row r="10" spans="1:18">
      <c r="A10" s="6" t="s">
        <v>41</v>
      </c>
      <c r="B10" s="38">
        <f t="shared" si="0"/>
        <v>777.721</v>
      </c>
      <c r="C10" s="34"/>
      <c r="D10" s="38">
        <f>IF( ISERROR(IND_voed_gas_kWh/1000),0,IND_voed_gas_kWh/1000)*0.902</f>
        <v>675.76216399999998</v>
      </c>
      <c r="E10" s="34">
        <f>C32*'E Balans VL '!I20/100/3.6*1000000</f>
        <v>7.6470320658166271</v>
      </c>
      <c r="F10" s="34">
        <f>C32*'E Balans VL '!L20/100/3.6*1000000+C32*'E Balans VL '!N20/100/3.6*1000000</f>
        <v>86.376068365648862</v>
      </c>
      <c r="G10" s="35"/>
      <c r="H10" s="34"/>
      <c r="I10" s="34"/>
      <c r="J10" s="41">
        <f>C32*'E Balans VL '!D20/100/3.6*1000000+C32*'E Balans VL '!E20/100/3.6*1000000</f>
        <v>3.0653515250893206E-3</v>
      </c>
      <c r="K10" s="34"/>
      <c r="L10" s="34"/>
      <c r="M10" s="34"/>
      <c r="N10" s="34">
        <f>C32*'E Balans VL '!Y20/100/3.6*1000000</f>
        <v>11.516218617375884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95.816000000000003</v>
      </c>
      <c r="C13" s="34"/>
      <c r="D13" s="38">
        <f>IF( ISERROR(IND_papier_gas_kWh/1000),0,IND_papier_gas_kWh/1000)*0.902</f>
        <v>0</v>
      </c>
      <c r="E13" s="34">
        <f>C35*'E Balans VL '!I23/100/3.6*1000000</f>
        <v>3.2636318842182011</v>
      </c>
      <c r="F13" s="34">
        <f>C35*'E Balans VL '!L23/100/3.6*1000000+C35*'E Balans VL '!N23/100/3.6*1000000</f>
        <v>15.826554446885689</v>
      </c>
      <c r="G13" s="35"/>
      <c r="H13" s="34"/>
      <c r="I13" s="34"/>
      <c r="J13" s="41">
        <f>C35*'E Balans VL '!D23/100/3.6*1000000+C35*'E Balans VL '!E23/100/3.6*1000000</f>
        <v>0</v>
      </c>
      <c r="K13" s="34"/>
      <c r="L13" s="34"/>
      <c r="M13" s="34"/>
      <c r="N13" s="34">
        <f>C35*'E Balans VL '!Y23/100/3.6*1000000</f>
        <v>35.257718414074439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29024.499</v>
      </c>
      <c r="C15" s="34"/>
      <c r="D15" s="38">
        <f>IF( ISERROR(IND_rest_gas_kWh/1000),0,IND_rest_gas_kWh/1000)*0.902</f>
        <v>141363.30353199999</v>
      </c>
      <c r="E15" s="34">
        <f>C37*'E Balans VL '!I15/100/3.6*1000000</f>
        <v>260.80517786955011</v>
      </c>
      <c r="F15" s="34">
        <f>C37*'E Balans VL '!L15/100/3.6*1000000+C37*'E Balans VL '!N15/100/3.6*1000000</f>
        <v>5715.5179973809518</v>
      </c>
      <c r="G15" s="35"/>
      <c r="H15" s="34"/>
      <c r="I15" s="34"/>
      <c r="J15" s="41">
        <f>C37*'E Balans VL '!D15/100/3.6*1000000+C37*'E Balans VL '!E15/100/3.6*1000000</f>
        <v>145.95754153619708</v>
      </c>
      <c r="K15" s="34"/>
      <c r="L15" s="34"/>
      <c r="M15" s="34"/>
      <c r="N15" s="34">
        <f>C37*'E Balans VL '!Y15/100/3.6*1000000</f>
        <v>890.97565536758441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30744.238000000001</v>
      </c>
      <c r="C18" s="22">
        <f>C5+C16</f>
        <v>0</v>
      </c>
      <c r="D18" s="22">
        <f>MAX((D5+D16),0)</f>
        <v>142767.95475799998</v>
      </c>
      <c r="E18" s="22">
        <f>MAX((E5+E16),0)</f>
        <v>277.28520748491837</v>
      </c>
      <c r="F18" s="22">
        <f>MAX((F5+F16),0)</f>
        <v>6355.6188570494496</v>
      </c>
      <c r="G18" s="22"/>
      <c r="H18" s="22"/>
      <c r="I18" s="22"/>
      <c r="J18" s="22">
        <f>MAX((J5+J16),0)</f>
        <v>149.36445483172355</v>
      </c>
      <c r="K18" s="22"/>
      <c r="L18" s="22">
        <f>MAX((L5+L16),0)</f>
        <v>0</v>
      </c>
      <c r="M18" s="22"/>
      <c r="N18" s="22">
        <f>MAX((N5+N16),0)</f>
        <v>987.11694385205055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0.19745377353102112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6070.5658074358134</v>
      </c>
      <c r="C22" s="24">
        <f ca="1">C18*C20</f>
        <v>0</v>
      </c>
      <c r="D22" s="24">
        <f>D18*D20</f>
        <v>28839.126861115998</v>
      </c>
      <c r="E22" s="24">
        <f>E18*E20</f>
        <v>62.943742099076474</v>
      </c>
      <c r="F22" s="24">
        <f>F18*F20</f>
        <v>1696.9502348322033</v>
      </c>
      <c r="G22" s="24"/>
      <c r="H22" s="24"/>
      <c r="I22" s="24"/>
      <c r="J22" s="24">
        <f>J18*J20</f>
        <v>52.875017010430135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203.86500000000001</v>
      </c>
      <c r="C30" s="40">
        <f>IF(ISERROR(B30*3.6/1000000/'E Balans VL '!Z18*100),0,B30*3.6/1000000/'E Balans VL '!Z18*100)</f>
        <v>1.1343724016441192E-2</v>
      </c>
      <c r="D30" s="240" t="s">
        <v>707</v>
      </c>
    </row>
    <row r="31" spans="1:18">
      <c r="A31" s="6" t="s">
        <v>33</v>
      </c>
      <c r="B31" s="38">
        <f>IF( ISERROR(IND_ander_ele_kWh/1000),0,IND_ander_ele_kWh/1000)</f>
        <v>642.33699999999999</v>
      </c>
      <c r="C31" s="40">
        <f>IF(ISERROR(B31*3.6/1000000/'E Balans VL '!Z19*100),0,B31*3.6/1000000/'E Balans VL '!Z19*100)</f>
        <v>2.9860560158592075E-2</v>
      </c>
      <c r="D31" s="240" t="s">
        <v>707</v>
      </c>
    </row>
    <row r="32" spans="1:18">
      <c r="A32" s="174" t="s">
        <v>41</v>
      </c>
      <c r="B32" s="38">
        <f>IF( ISERROR(IND_voed_ele_kWh/1000),0,IND_voed_ele_kWh/1000)</f>
        <v>777.721</v>
      </c>
      <c r="C32" s="40">
        <f>IF(ISERROR(B32*3.6/1000000/'E Balans VL '!Z20*100),0,B32*3.6/1000000/'E Balans VL '!Z20*100)</f>
        <v>2.7490866675921766E-2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95.816000000000003</v>
      </c>
      <c r="C35" s="40">
        <f>IF(ISERROR(B35*3.6/1000000/'E Balans VL '!Z22*100),0,B35*3.6/1000000/'E Balans VL '!Z22*100)</f>
        <v>1.9256314080081934E-2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29024.499</v>
      </c>
      <c r="C37" s="40">
        <f>IF(ISERROR(B37*3.6/1000000/'E Balans VL '!Z15*100),0,B37*3.6/1000000/'E Balans VL '!Z15*100)</f>
        <v>0.2191778431184658</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237.09100000000001</v>
      </c>
      <c r="C5" s="18">
        <f>'Eigen informatie GS &amp; warmtenet'!B60</f>
        <v>0</v>
      </c>
      <c r="D5" s="31">
        <f>IF(ISERROR(SUM(LB_lb_gas_kWh,LB_rest_gas_kWh)/1000),0,SUM(LB_lb_gas_kWh,LB_rest_gas_kWh)/1000)*0.902</f>
        <v>103.398966</v>
      </c>
      <c r="E5" s="18">
        <f>B17*'E Balans VL '!I25/3.6*1000000/100</f>
        <v>2.2335560761809745</v>
      </c>
      <c r="F5" s="18">
        <f>B17*('E Balans VL '!L25/3.6*1000000+'E Balans VL '!N25/3.6*1000000)/100</f>
        <v>773.70661659265011</v>
      </c>
      <c r="G5" s="19"/>
      <c r="H5" s="18"/>
      <c r="I5" s="18"/>
      <c r="J5" s="18">
        <f>('E Balans VL '!D25+'E Balans VL '!E25)/3.6*1000000*landbouw!B17/100</f>
        <v>29.329309910402475</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237.09100000000001</v>
      </c>
      <c r="C8" s="22">
        <f>C5+C6</f>
        <v>0</v>
      </c>
      <c r="D8" s="22">
        <f>MAX((D5+D6),0)</f>
        <v>103.398966</v>
      </c>
      <c r="E8" s="22">
        <f>MAX((E5+E6),0)</f>
        <v>2.2335560761809745</v>
      </c>
      <c r="F8" s="22">
        <f>MAX((F5+F6),0)</f>
        <v>773.70661659265011</v>
      </c>
      <c r="G8" s="22"/>
      <c r="H8" s="22"/>
      <c r="I8" s="22"/>
      <c r="J8" s="22">
        <f>MAX((J5+J6),0)</f>
        <v>29.329309910402475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0.19745377353102112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46.814512620243327</v>
      </c>
      <c r="C12" s="24">
        <f ca="1">C8*C10</f>
        <v>0</v>
      </c>
      <c r="D12" s="24">
        <f>D8*D10</f>
        <v>20.886591132000003</v>
      </c>
      <c r="E12" s="24">
        <f>E8*E10</f>
        <v>0.50701722929308124</v>
      </c>
      <c r="F12" s="24">
        <f>F8*F10</f>
        <v>206.5796666302376</v>
      </c>
      <c r="G12" s="24"/>
      <c r="H12" s="24"/>
      <c r="I12" s="24"/>
      <c r="J12" s="24">
        <f>J8*J10</f>
        <v>10.382575708282475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3.2098332806929836E-2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46.919904145069189</v>
      </c>
      <c r="C26" s="250">
        <f>B26*'GWP N2O_CH4'!B5</f>
        <v>985.31798704645303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20.240055692374455</v>
      </c>
      <c r="C27" s="250">
        <f>B27*'GWP N2O_CH4'!B5</f>
        <v>425.04116953986352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0.63621484220049807</v>
      </c>
      <c r="C28" s="250">
        <f>B28*'GWP N2O_CH4'!B4</f>
        <v>197.22660108215439</v>
      </c>
      <c r="D28" s="51"/>
    </row>
    <row r="29" spans="1:4">
      <c r="A29" s="42" t="s">
        <v>277</v>
      </c>
      <c r="B29" s="250">
        <f>B34*'ha_N2O bodem landbouw'!B4</f>
        <v>2.4819141843632102</v>
      </c>
      <c r="C29" s="250">
        <f>B29*'GWP N2O_CH4'!B4</f>
        <v>769.39339715259518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6.7003869845727311E-4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7.0200030235123391E-6</v>
      </c>
      <c r="C5" s="447" t="s">
        <v>211</v>
      </c>
      <c r="D5" s="432">
        <f>SUM(D6:D11)</f>
        <v>1.8613592641595906E-5</v>
      </c>
      <c r="E5" s="432">
        <f>SUM(E6:E11)</f>
        <v>1.2082775275472136E-3</v>
      </c>
      <c r="F5" s="445" t="s">
        <v>211</v>
      </c>
      <c r="G5" s="432">
        <f>SUM(G6:G11)</f>
        <v>0.30287690670219714</v>
      </c>
      <c r="H5" s="432">
        <f>SUM(H6:H11)</f>
        <v>4.2604199364124178E-2</v>
      </c>
      <c r="I5" s="447" t="s">
        <v>211</v>
      </c>
      <c r="J5" s="447" t="s">
        <v>211</v>
      </c>
      <c r="K5" s="447" t="s">
        <v>211</v>
      </c>
      <c r="L5" s="447" t="s">
        <v>211</v>
      </c>
      <c r="M5" s="432">
        <f>SUM(M6:M11)</f>
        <v>1.5436117928220125E-2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3.2580429183685805E-6</v>
      </c>
      <c r="C6" s="433"/>
      <c r="D6" s="433">
        <f>vkm_2011_GW_PW*SUMIFS(TableVerdeelsleutelVkm[CNG],TableVerdeelsleutelVkm[Voertuigtype],"Lichte voertuigen")*SUMIFS(TableECFTransport[EnergieConsumptieFactor (PJ per km)],TableECFTransport[Index],CONCATENATE($A6,"_CNG_CNG"))</f>
        <v>7.9561953694476397E-6</v>
      </c>
      <c r="E6" s="435">
        <f>vkm_2011_GW_PW*SUMIFS(TableVerdeelsleutelVkm[LPG],TableVerdeelsleutelVkm[Voertuigtype],"Lichte voertuigen")*SUMIFS(TableECFTransport[EnergieConsumptieFactor (PJ per km)],TableECFTransport[Index],CONCATENATE($A6,"_LPG_LPG"))</f>
        <v>4.7160214498892191E-4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6.8175637738845551E-2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1.7866876001561127E-2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3.8531422223032703E-3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6.7786704556358948E-2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2.7349292507016925E-5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3.0198767149262548E-3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6.2010076370576004E-7</v>
      </c>
      <c r="C8" s="433"/>
      <c r="D8" s="435">
        <f>vkm_2011_NGW_PW*SUMIFS(TableVerdeelsleutelVkm[CNG],TableVerdeelsleutelVkm[Voertuigtype],"Lichte voertuigen")*SUMIFS(TableECFTransport[EnergieConsumptieFactor (PJ per km)],TableECFTransport[Index],CONCATENATE($A8,"_CNG_CNG"))</f>
        <v>2.7169051116786443E-6</v>
      </c>
      <c r="E8" s="435">
        <f>vkm_2011_NGW_PW*SUMIFS(TableVerdeelsleutelVkm[LPG],TableVerdeelsleutelVkm[Voertuigtype],"Lichte voertuigen")*SUMIFS(TableECFTransport[EnergieConsumptieFactor (PJ per km)],TableECFTransport[Index],CONCATENATE($A8,"_LPG_LPG"))</f>
        <v>1.4774180707962509E-4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2.0176407674277804E-2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5.8425239988451486E-3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1.1657062665458278E-3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9.2322201159570044E-4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3.2432025581495137E-7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4.1127052052119872E-5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3.1418593414379988E-6</v>
      </c>
      <c r="C10" s="433"/>
      <c r="D10" s="435">
        <f>vkm_2011_SW_PW*SUMIFS(TableVerdeelsleutelVkm[CNG],TableVerdeelsleutelVkm[Voertuigtype],"Lichte voertuigen")*SUMIFS(TableECFTransport[EnergieConsumptieFactor (PJ per km)],TableECFTransport[Index],CONCATENATE($A10,"_CNG_CNG"))</f>
        <v>7.9404921604696238E-6</v>
      </c>
      <c r="E10" s="435">
        <f>vkm_2011_SW_PW*SUMIFS(TableVerdeelsleutelVkm[LPG],TableVerdeelsleutelVkm[Voertuigtype],"Lichte voertuigen")*SUMIFS(TableECFTransport[EnergieConsumptieFactor (PJ per km)],TableECFTransport[Index],CONCATENATE($A10,"_LPG_LPG"))</f>
        <v>5.889335754786666E-4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7.7588704644158152E-2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1.883792141801886E-2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4.3167314963101725E-3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6.8226230076961006E-2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2.9204332936210262E-5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3.039534176082481E-3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1.9500008398645388</v>
      </c>
      <c r="C14" s="22"/>
      <c r="D14" s="22">
        <f t="shared" ref="D14:M14" si="0">((D5)*10^9/3600)+D12</f>
        <v>5.1704424004433074</v>
      </c>
      <c r="E14" s="22">
        <f t="shared" si="0"/>
        <v>335.63264654089272</v>
      </c>
      <c r="F14" s="22"/>
      <c r="G14" s="22">
        <f t="shared" si="0"/>
        <v>84132.474083943642</v>
      </c>
      <c r="H14" s="22">
        <f t="shared" si="0"/>
        <v>11834.499823367827</v>
      </c>
      <c r="I14" s="22"/>
      <c r="J14" s="22"/>
      <c r="K14" s="22"/>
      <c r="L14" s="22"/>
      <c r="M14" s="22">
        <f t="shared" si="0"/>
        <v>4287.8105356167016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0.19745377353102112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0.38503502421991359</v>
      </c>
      <c r="C18" s="24"/>
      <c r="D18" s="24">
        <f t="shared" ref="D18:M18" si="1">D14*D16</f>
        <v>1.0444293648895482</v>
      </c>
      <c r="E18" s="24">
        <f t="shared" si="1"/>
        <v>76.188610764782652</v>
      </c>
      <c r="F18" s="24"/>
      <c r="G18" s="24">
        <f t="shared" si="1"/>
        <v>22463.370580412953</v>
      </c>
      <c r="H18" s="24">
        <f t="shared" si="1"/>
        <v>2946.7904560185889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2.2603708046621805E-3</v>
      </c>
      <c r="H50" s="323">
        <f t="shared" si="2"/>
        <v>0</v>
      </c>
      <c r="I50" s="323">
        <f t="shared" si="2"/>
        <v>0</v>
      </c>
      <c r="J50" s="323">
        <f t="shared" si="2"/>
        <v>0</v>
      </c>
      <c r="K50" s="323">
        <f t="shared" si="2"/>
        <v>0</v>
      </c>
      <c r="L50" s="323">
        <f t="shared" si="2"/>
        <v>0</v>
      </c>
      <c r="M50" s="323">
        <f t="shared" si="2"/>
        <v>9.9256610747593815E-5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2.2603708046621805E-3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9.9256610747593815E-5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627.88077907282798</v>
      </c>
      <c r="H54" s="22">
        <f t="shared" si="3"/>
        <v>0</v>
      </c>
      <c r="I54" s="22">
        <f t="shared" si="3"/>
        <v>0</v>
      </c>
      <c r="J54" s="22">
        <f t="shared" si="3"/>
        <v>0</v>
      </c>
      <c r="K54" s="22">
        <f t="shared" si="3"/>
        <v>0</v>
      </c>
      <c r="L54" s="22">
        <f t="shared" si="3"/>
        <v>0</v>
      </c>
      <c r="M54" s="22">
        <f t="shared" si="3"/>
        <v>27.571280763220503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0.19745377353102112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167.64416801244508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7701.2049503866201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7701.2049503866201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2019-08-12T07:55:31Z</dcterms:modified>
</cp:coreProperties>
</file>