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I101" s="1"/>
  <c r="H8" s="1"/>
  <c r="H10" s="1"/>
  <c r="B10"/>
  <c r="O18"/>
  <c r="B17"/>
  <c r="B20" s="1"/>
  <c r="B8"/>
  <c r="O19"/>
  <c r="I102"/>
  <c r="H17" s="1"/>
  <c r="H20" s="1"/>
  <c r="E102"/>
  <c r="E17" s="1"/>
  <c r="E20" s="1"/>
  <c r="G102"/>
  <c r="C102"/>
  <c r="H102"/>
  <c r="D102"/>
  <c r="F102"/>
  <c r="B102"/>
  <c r="C17" s="1"/>
  <c r="E101"/>
  <c r="E8" s="1"/>
  <c r="E10" s="1"/>
  <c r="G101"/>
  <c r="N6" i="17"/>
  <c r="L6"/>
  <c r="F6"/>
  <c r="D6"/>
  <c r="C6"/>
  <c r="N16" i="16"/>
  <c r="L16"/>
  <c r="F16"/>
  <c r="D16"/>
  <c r="C16"/>
  <c r="B16"/>
  <c r="B13" i="15"/>
  <c r="C101" i="18" l="1"/>
  <c r="H101"/>
  <c r="J8" s="1"/>
  <c r="D101"/>
  <c r="F101"/>
  <c r="I8" s="1"/>
  <c r="B101"/>
  <c r="C8" s="1"/>
  <c r="C10" s="1"/>
  <c r="C20"/>
  <c r="I17"/>
  <c r="J17"/>
  <c r="J20" s="1"/>
  <c r="B19" i="6"/>
  <c r="B18"/>
  <c r="B5"/>
  <c r="C29" i="14" s="1"/>
  <c r="B6" i="6"/>
  <c r="C64" i="14" s="1"/>
  <c r="B14" i="48"/>
  <c r="Q14" s="1"/>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Q12" s="1"/>
  <c r="P17"/>
  <c r="P32" s="1"/>
  <c r="O17"/>
  <c r="M4"/>
  <c r="L4"/>
  <c r="K4"/>
  <c r="I4"/>
  <c r="H4"/>
  <c r="G4"/>
  <c r="P11"/>
  <c r="P29" s="1"/>
  <c r="O11"/>
  <c r="O29" s="1"/>
  <c r="N11"/>
  <c r="M11"/>
  <c r="L11"/>
  <c r="K11"/>
  <c r="J11"/>
  <c r="I11"/>
  <c r="H11"/>
  <c r="G11"/>
  <c r="F11"/>
  <c r="E11"/>
  <c r="D11"/>
  <c r="C11"/>
  <c r="B11"/>
  <c r="Q11" s="1"/>
  <c r="O3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G87" i="14"/>
  <c r="G17" i="56" s="1"/>
  <c r="F87" i="14"/>
  <c r="E87"/>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F76"/>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P49"/>
  <c r="P52" s="1"/>
  <c r="Q20"/>
  <c r="P20"/>
  <c r="O20"/>
  <c r="O22" s="1"/>
  <c r="M20"/>
  <c r="L20"/>
  <c r="K20"/>
  <c r="J20"/>
  <c r="G20"/>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Q52"/>
  <c r="R44"/>
  <c r="Q26"/>
  <c r="N26"/>
  <c r="J26"/>
  <c r="I26"/>
  <c r="E25"/>
  <c r="D14" i="48" s="1"/>
  <c r="C25" i="14"/>
  <c r="P26"/>
  <c r="L26"/>
  <c r="P22"/>
  <c r="G22"/>
  <c r="R12"/>
  <c r="F13" i="15"/>
  <c r="D13"/>
  <c r="C13"/>
  <c r="J10" i="18" l="1"/>
  <c r="J76" i="14"/>
  <c r="I10" i="18"/>
  <c r="I76" i="14"/>
  <c r="I8" i="56" s="1"/>
  <c r="I10" s="1"/>
  <c r="G8"/>
  <c r="G10" s="1"/>
  <c r="G78" i="14"/>
  <c r="I20" i="18"/>
  <c r="I87" i="14"/>
  <c r="I17" i="56" s="1"/>
  <c r="I20" s="1"/>
  <c r="N78" i="14"/>
  <c r="N8" i="56"/>
  <c r="N10" s="1"/>
  <c r="F17"/>
  <c r="F20" s="1"/>
  <c r="F90" i="14"/>
  <c r="K90"/>
  <c r="K18" i="56"/>
  <c r="N90" i="14"/>
  <c r="O10" i="56"/>
  <c r="C88" i="14"/>
  <c r="C18" i="56" s="1"/>
  <c r="G20"/>
  <c r="O20"/>
  <c r="E8"/>
  <c r="E10" s="1"/>
  <c r="M78" i="14"/>
  <c r="M8" i="56"/>
  <c r="M10" s="1"/>
  <c r="H78" i="14"/>
  <c r="H9" i="56"/>
  <c r="H10" s="1"/>
  <c r="Q87" i="14"/>
  <c r="P17" i="56" s="1"/>
  <c r="D17"/>
  <c r="K78" i="14"/>
  <c r="K8" i="56"/>
  <c r="K10" s="1"/>
  <c r="O78" i="14"/>
  <c r="O9" i="56"/>
  <c r="L90" i="14"/>
  <c r="L17" i="56"/>
  <c r="L20" s="1"/>
  <c r="G90" i="14"/>
  <c r="G18" i="56"/>
  <c r="O90" i="14"/>
  <c r="O18" i="56"/>
  <c r="C77" i="14"/>
  <c r="C9" i="56" s="1"/>
  <c r="D9"/>
  <c r="D10" s="1"/>
  <c r="Q88" i="14"/>
  <c r="P18" i="56" s="1"/>
  <c r="D18"/>
  <c r="M20"/>
  <c r="K20"/>
  <c r="L78" i="14"/>
  <c r="N20" i="56"/>
  <c r="Q89" i="14"/>
  <c r="P19" i="56" s="1"/>
  <c r="Q76" i="14"/>
  <c r="P8" i="56" s="1"/>
  <c r="L10"/>
  <c r="H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Q90" i="14"/>
  <c r="B17" i="6" s="1"/>
  <c r="D20" i="56"/>
  <c r="B76" i="14"/>
  <c r="C76"/>
  <c r="I78"/>
  <c r="C87"/>
  <c r="C17" i="56" s="1"/>
  <c r="C20" s="1"/>
  <c r="B87" i="14"/>
  <c r="B8" i="56" l="1"/>
  <c r="B10" s="1"/>
  <c r="B78" i="14"/>
  <c r="B4" i="6" s="1"/>
  <c r="C8" i="56"/>
  <c r="C10" s="1"/>
  <c r="C78" i="14"/>
  <c r="B90"/>
  <c r="B17" i="56"/>
  <c r="B20" s="1"/>
  <c r="C90" i="14"/>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32" i="48" l="1"/>
  <c r="K27"/>
  <c r="K31"/>
  <c r="K25"/>
  <c r="K28"/>
  <c r="K24"/>
  <c r="K26"/>
  <c r="K22"/>
  <c r="K29"/>
  <c r="K30"/>
  <c r="J10" i="14"/>
  <c r="J16" s="1"/>
  <c r="J27" s="1"/>
  <c r="I5" i="48"/>
  <c r="J30"/>
  <c r="J31"/>
  <c r="J29"/>
  <c r="J24"/>
  <c r="J32"/>
  <c r="J28"/>
  <c r="J27"/>
  <c r="P4"/>
  <c r="Q11" i="14"/>
  <c r="B7" i="48"/>
  <c r="C24" i="14"/>
  <c r="C26" s="1"/>
  <c r="P11"/>
  <c r="O4" i="48"/>
  <c r="I32"/>
  <c r="I22"/>
  <c r="I25"/>
  <c r="I29"/>
  <c r="I26"/>
  <c r="I24"/>
  <c r="I27"/>
  <c r="I30"/>
  <c r="I31"/>
  <c r="I28"/>
  <c r="E11" i="14"/>
  <c r="D4" i="48"/>
  <c r="D22" s="1"/>
  <c r="H32"/>
  <c r="H25"/>
  <c r="H26"/>
  <c r="H28"/>
  <c r="H29"/>
  <c r="H22"/>
  <c r="H30"/>
  <c r="H24"/>
  <c r="H23"/>
  <c r="D11" i="14"/>
  <c r="C4" i="48"/>
  <c r="G32"/>
  <c r="G26"/>
  <c r="G24"/>
  <c r="G22"/>
  <c r="G25"/>
  <c r="G29"/>
  <c r="G30"/>
  <c r="G23"/>
  <c r="C11" i="14"/>
  <c r="B4" i="48"/>
  <c r="F30"/>
  <c r="F24"/>
  <c r="F28"/>
  <c r="F27"/>
  <c r="F32"/>
  <c r="F31"/>
  <c r="F29"/>
  <c r="N32"/>
  <c r="N30"/>
  <c r="N31"/>
  <c r="N28"/>
  <c r="N24"/>
  <c r="N27"/>
  <c r="N29"/>
  <c r="C19" i="14"/>
  <c r="B10" i="48"/>
  <c r="E32"/>
  <c r="E28"/>
  <c r="E24"/>
  <c r="E31"/>
  <c r="E29"/>
  <c r="E30"/>
  <c r="M12" i="13"/>
  <c r="N41" i="14" s="1"/>
  <c r="M17" i="48"/>
  <c r="L10" i="14"/>
  <c r="L16" s="1"/>
  <c r="L27" s="1"/>
  <c r="K5" i="48"/>
  <c r="D28"/>
  <c r="D30"/>
  <c r="D24"/>
  <c r="D32"/>
  <c r="D31"/>
  <c r="D29"/>
  <c r="L28"/>
  <c r="L32"/>
  <c r="L27"/>
  <c r="L31"/>
  <c r="L22"/>
  <c r="L30"/>
  <c r="L29"/>
  <c r="L24"/>
  <c r="P5"/>
  <c r="P23" s="1"/>
  <c r="Q10" i="14"/>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O22"/>
  <c r="M32"/>
  <c r="M22"/>
  <c r="M26"/>
  <c r="M29"/>
  <c r="M30"/>
  <c r="M25"/>
  <c r="M24"/>
  <c r="M23"/>
  <c r="G11" i="14"/>
  <c r="F4" i="48"/>
  <c r="F22" s="1"/>
  <c r="I18" i="14"/>
  <c r="H13" i="48"/>
  <c r="H31" s="1"/>
  <c r="Q13" i="14"/>
  <c r="P8" i="48"/>
  <c r="P26" s="1"/>
  <c r="K23"/>
  <c r="K15"/>
  <c r="P22"/>
  <c r="P33" s="1"/>
  <c r="I23"/>
  <c r="I33" s="1"/>
  <c r="I15"/>
  <c r="H18" i="14"/>
  <c r="G13" i="48"/>
  <c r="N18" i="14"/>
  <c r="M13" i="48"/>
  <c r="M31" s="1"/>
  <c r="J12" i="17"/>
  <c r="K54" i="14" s="1"/>
  <c r="K56" s="1"/>
  <c r="J7" i="48"/>
  <c r="J25" s="1"/>
  <c r="K24" i="14"/>
  <c r="K26" s="1"/>
  <c r="L63"/>
  <c r="J63"/>
  <c r="Q16"/>
  <c r="Q27" s="1"/>
  <c r="J46"/>
  <c r="J61" s="1"/>
  <c r="K33" i="48"/>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i="17"/>
  <c r="F54" i="14" s="1"/>
  <c r="F56" s="1"/>
  <c r="E12" i="13" l="1"/>
  <c r="F41" i="14" s="1"/>
  <c r="F11"/>
  <c r="R11" s="1"/>
  <c r="E4" i="48"/>
  <c r="O11" i="14"/>
  <c r="N4" i="48"/>
  <c r="N22" s="1"/>
  <c r="E9"/>
  <c r="E27" s="1"/>
  <c r="F20" i="14"/>
  <c r="F22" s="1"/>
  <c r="I20"/>
  <c r="H9" i="48"/>
  <c r="P13" i="14"/>
  <c r="P16" s="1"/>
  <c r="P27" s="1"/>
  <c r="O8" i="48"/>
  <c r="O26" s="1"/>
  <c r="O33" s="1"/>
  <c r="M10"/>
  <c r="M28" s="1"/>
  <c r="N19" i="14"/>
  <c r="D9" i="48"/>
  <c r="D27" s="1"/>
  <c r="E20" i="14"/>
  <c r="E22" s="1"/>
  <c r="R18"/>
  <c r="C20"/>
  <c r="B9" i="48"/>
  <c r="G31"/>
  <c r="Q13"/>
  <c r="H19" i="14"/>
  <c r="G10" i="48"/>
  <c r="K11" i="14"/>
  <c r="J4" i="48"/>
  <c r="E7"/>
  <c r="E25" s="1"/>
  <c r="F24" i="14"/>
  <c r="F26" s="1"/>
  <c r="I22"/>
  <c r="I27" s="1"/>
  <c r="D18" i="22"/>
  <c r="E50" i="14" s="1"/>
  <c r="E52" s="1"/>
  <c r="Q46"/>
  <c r="Q61" s="1"/>
  <c r="Q63" s="1"/>
  <c r="M14" i="22"/>
  <c r="P15"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G58" i="22"/>
  <c r="H49" i="14"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P63" l="1"/>
  <c r="J22" i="48"/>
  <c r="H27"/>
  <c r="H33" s="1"/>
  <c r="H15"/>
  <c r="H20" i="14"/>
  <c r="R20" s="1"/>
  <c r="G9" i="48"/>
  <c r="C22" i="14"/>
  <c r="K10"/>
  <c r="J5" i="48"/>
  <c r="J23" s="1"/>
  <c r="E22"/>
  <c r="Q4"/>
  <c r="E5"/>
  <c r="E23" s="1"/>
  <c r="F10" i="14"/>
  <c r="G28" i="48"/>
  <c r="Q10"/>
  <c r="M9"/>
  <c r="N20" i="14"/>
  <c r="N22" s="1"/>
  <c r="N27" s="1"/>
  <c r="N63" s="1"/>
  <c r="E46"/>
  <c r="E61" s="1"/>
  <c r="O15" i="48"/>
  <c r="R19" i="14"/>
  <c r="R22" s="1"/>
  <c r="G18" i="22"/>
  <c r="H50" i="14" s="1"/>
  <c r="H52" s="1"/>
  <c r="H61" s="1"/>
  <c r="H63" s="1"/>
  <c r="H22"/>
  <c r="H27" s="1"/>
  <c r="D15" i="48"/>
  <c r="E16" i="14"/>
  <c r="E27" s="1"/>
  <c r="E63"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M27" i="48" l="1"/>
  <c r="M33" s="1"/>
  <c r="M15"/>
  <c r="K13" i="14"/>
  <c r="J8" i="48"/>
  <c r="J26" s="1"/>
  <c r="F13" i="14"/>
  <c r="E8" i="48"/>
  <c r="G27"/>
  <c r="G33" s="1"/>
  <c r="G15"/>
  <c r="K16" i="14"/>
  <c r="K27" s="1"/>
  <c r="K63" s="1"/>
  <c r="J33" i="48"/>
  <c r="K46" i="14"/>
  <c r="K61" s="1"/>
  <c r="C27"/>
  <c r="B3" i="6" s="1"/>
  <c r="B12" s="1"/>
  <c r="Q5" i="48"/>
  <c r="Q9"/>
  <c r="F46" i="14"/>
  <c r="F61" s="1"/>
  <c r="F16"/>
  <c r="F27" s="1"/>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F63" i="14"/>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<sst xmlns="http://schemas.openxmlformats.org/spreadsheetml/2006/main" count="2495" uniqueCount="954">
  <si>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</si>
  <si>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</si>
  <si>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</si>
  <si>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</si>
  <si>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</si>
  <si>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</si>
  <si>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</si>
  <si>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</si>
  <si>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</si>
  <si>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</si>
  <si>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</si>
  <si>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</si>
  <si>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</si>
  <si>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</si>
  <si>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</si>
  <si>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</si>
  <si>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</si>
  <si>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</si>
  <si>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</si>
  <si>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</si>
  <si>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</si>
  <si>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</si>
  <si>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</si>
  <si>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</si>
  <si>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</si>
  <si>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</si>
  <si>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</si>
  <si>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</si>
  <si>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</si>
  <si>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</si>
  <si>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</si>
  <si>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</si>
  <si>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</si>
  <si>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</si>
  <si>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</si>
  <si>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</si>
  <si>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</si>
  <si>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</si>
  <si>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</si>
  <si>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</si>
  <si>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</si>
  <si>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</si>
  <si>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</si>
  <si>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</si>
  <si>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</si>
  <si>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</si>
  <si>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</si>
  <si>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</si>
  <si>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</si>
  <si>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</si>
  <si>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</si>
  <si>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</si>
  <si>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</si>
  <si>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</si>
  <si>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</si>
  <si>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</si>
  <si>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</si>
  <si>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</si>
  <si>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</si>
  <si>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</si>
  <si>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</si>
  <si>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</si>
  <si>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</si>
  <si>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</si>
  <si>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</si>
  <si>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</si>
  <si>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</si>
  <si>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</si>
  <si>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</si>
  <si>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</si>
  <si>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</si>
  <si>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</si>
  <si>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</si>
  <si>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</si>
  <si>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</si>
  <si>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</si>
  <si>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</si>
  <si>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</si>
  <si>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</si>
  <si>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</si>
  <si>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</si>
  <si>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</si>
  <si>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</si>
  <si>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</si>
  <si>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</si>
  <si>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</si>
  <si>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</si>
  <si>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</si>
  <si>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</si>
  <si>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</si>
  <si>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</si>
  <si>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</si>
  <si>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</si>
  <si>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</si>
  <si>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</si>
  <si>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</si>
  <si>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</si>
  <si>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</si>
  <si>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</si>
  <si>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</si>
  <si>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</si>
  <si>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</si>
  <si>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</si>
  <si>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</si>
  <si>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</si>
  <si>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</si>
  <si>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</si>
  <si>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</si>
  <si>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</si>
  <si>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</si>
  <si>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</si>
  <si>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</si>
  <si>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</si>
  <si>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</si>
  <si>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</si>
  <si>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</si>
  <si>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</si>
  <si>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</si>
  <si>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</si>
  <si>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</si>
  <si>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</si>
  <si>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</si>
  <si>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</si>
  <si>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</si>
  <si>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</si>
  <si>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</si>
  <si>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</si>
  <si>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</si>
  <si>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</si>
  <si>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</si>
  <si>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</si>
  <si>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</si>
  <si>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</si>
  <si>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</si>
  <si>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</si>
  <si>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</si>
  <si>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</si>
  <si>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</si>
  <si>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</si>
  <si>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</si>
  <si>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</si>
  <si>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</si>
  <si>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</si>
  <si>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</si>
  <si>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</si>
  <si>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</si>
  <si>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</si>
  <si>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</si>
  <si>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</si>
  <si>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</si>
  <si>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</si>
  <si>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</si>
  <si>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</si>
  <si>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</si>
  <si>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</si>
  <si>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</si>
  <si>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</si>
  <si>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</si>
  <si>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</si>
  <si>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</si>
  <si>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</si>
  <si>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</si>
  <si>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</si>
  <si>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</si>
  <si>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</si>
  <si>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</si>
  <si>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</si>
  <si>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</si>
  <si>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</si>
  <si>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</si>
  <si>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</si>
  <si>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</si>
  <si>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</si>
  <si>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</si>
  <si>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</si>
  <si>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</si>
  <si>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</si>
  <si>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</si>
  <si>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</si>
  <si>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</si>
  <si>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</si>
  <si>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</si>
  <si>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</si>
  <si>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</si>
  <si>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</si>
  <si>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</si>
  <si>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</si>
  <si>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</si>
  <si>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</si>
  <si>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</si>
  <si>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</si>
  <si>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</si>
  <si>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</si>
  <si>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</si>
  <si>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</si>
  <si>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</si>
  <si>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</si>
  <si>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</si>
  <si>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</si>
  <si>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</si>
  <si>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</si>
  <si>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</si>
  <si>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</si>
  <si>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</si>
  <si>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</si>
  <si>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</si>
  <si>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</si>
  <si>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</si>
  <si>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</si>
  <si>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</si>
  <si>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</si>
  <si>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</si>
  <si>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</si>
  <si>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</si>
  <si>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</si>
  <si>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</si>
  <si>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</si>
  <si>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</si>
  <si>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</si>
  <si>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</si>
  <si>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</si>
  <si>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</si>
  <si>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</si>
  <si>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</si>
  <si>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</si>
  <si>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</si>
  <si>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</si>
  <si>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</si>
  <si>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</si>
  <si>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</si>
  <si>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</si>
  <si>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</si>
  <si>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</si>
  <si>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</si>
  <si>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</si>
  <si>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</si>
  <si>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</si>
  <si>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</si>
  <si>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</si>
  <si>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</si>
  <si>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</si>
  <si>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</si>
  <si>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</si>
  <si>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</si>
  <si>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</si>
  <si>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</si>
  <si>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</si>
  <si>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</si>
  <si>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</si>
  <si>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</si>
  <si>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</si>
  <si>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</si>
  <si>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</si>
  <si>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</si>
  <si>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</si>
  <si>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</si>
  <si>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</si>
  <si>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</si>
  <si>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</si>
  <si>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</si>
  <si>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</si>
  <si>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</si>
  <si>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</si>
  <si>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</si>
  <si>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</si>
  <si>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</si>
  <si>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</si>
  <si>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</si>
  <si>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</si>
  <si>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</si>
  <si>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</si>
  <si>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</si>
  <si>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</si>
  <si>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</si>
  <si>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</si>
  <si>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</si>
  <si>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</si>
  <si>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</si>
  <si>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</si>
  <si>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</si>
  <si>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</si>
  <si>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</si>
  <si>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</si>
  <si>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</si>
  <si>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</si>
  <si>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</si>
  <si>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</si>
  <si>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</si>
  <si>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</si>
  <si>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</si>
  <si>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</si>
  <si>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</si>
  <si>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</si>
  <si>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</si>
  <si>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</si>
  <si>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</si>
  <si>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</si>
  <si>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</si>
  <si>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</si>
  <si>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</si>
  <si>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</si>
  <si>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</si>
  <si>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</si>
  <si>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</si>
  <si>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</si>
  <si>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</si>
  <si>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</si>
  <si>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</si>
  <si>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</si>
  <si>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</si>
  <si>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</si>
  <si>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</si>
  <si>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</si>
  <si>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</si>
  <si>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</si>
  <si>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</si>
  <si>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</si>
  <si>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</si>
  <si>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</si>
  <si>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</si>
  <si>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</si>
  <si>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</si>
  <si>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</si>
  <si>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</si>
  <si>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</si>
  <si>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</si>
  <si>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</si>
  <si>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</si>
  <si>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</si>
  <si>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</si>
  <si>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</si>
  <si>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</si>
  <si>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</si>
  <si>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</si>
  <si>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</si>
  <si>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</si>
  <si>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</si>
  <si>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</si>
  <si>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</si>
  <si>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</si>
  <si>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</si>
  <si>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</si>
  <si>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</si>
  <si>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</si>
  <si>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</si>
  <si>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</si>
  <si>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</si>
  <si>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</si>
  <si>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</si>
  <si>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</si>
  <si>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</si>
  <si>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</si>
  <si>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</si>
  <si>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</si>
  <si>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</si>
  <si>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</si>
  <si>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</si>
  <si>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</si>
  <si>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</si>
  <si>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</si>
  <si>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</si>
  <si>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</si>
  <si>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</si>
  <si>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</si>
  <si>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</si>
  <si>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</si>
  <si>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</si>
  <si>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</si>
  <si>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</si>
  <si>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</si>
  <si>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</si>
  <si>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</si>
  <si>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</si>
  <si>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</si>
  <si>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</si>
  <si>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</si>
  <si>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</si>
  <si>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</si>
  <si>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</si>
  <si>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</si>
  <si>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</si>
  <si>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</si>
  <si>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</si>
  <si>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</si>
  <si>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</si>
  <si>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</si>
  <si>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</si>
  <si>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</si>
  <si>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</si>
  <si>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</si>
  <si>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</si>
  <si>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</si>
  <si>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</si>
  <si>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</si>
  <si>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</si>
  <si>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</si>
  <si>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</si>
  <si>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</si>
  <si>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</si>
  <si>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</si>
  <si>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</si>
  <si>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</si>
  <si>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</si>
  <si>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</si>
  <si>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</si>
  <si>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</si>
  <si>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</si>
  <si>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</si>
  <si>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</si>
  <si>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</si>
  <si>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</si>
  <si>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</si>
  <si>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</si>
  <si>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</si>
  <si>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</si>
  <si>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</si>
  <si>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</si>
  <si>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</si>
  <si>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</si>
  <si>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</si>
  <si>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</si>
  <si>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</si>
  <si>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</si>
  <si>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</si>
  <si>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</si>
  <si>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</si>
  <si>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</si>
  <si>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</si>
  <si>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</si>
  <si>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</si>
  <si>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</si>
  <si>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</si>
  <si>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</si>
  <si>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</si>
  <si>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</si>
  <si>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</si>
  <si>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</si>
  <si>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</si>
  <si>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</si>
  <si>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</si>
  <si>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</si>
  <si>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</si>
  <si>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</si>
  <si>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</si>
  <si>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</si>
  <si>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</si>
  <si>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</si>
  <si>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</si>
  <si>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</si>
  <si>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</si>
  <si>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</si>
  <si>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</si>
  <si>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</si>
  <si>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</si>
  <si>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</si>
  <si>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</si>
  <si>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</si>
  <si>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</si>
  <si>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</si>
  <si>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</si>
  <si>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</si>
  <si>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</si>
  <si>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</si>
  <si>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</si>
  <si>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</si>
  <si>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</si>
  <si>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</si>
  <si>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</si>
  <si>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</si>
  <si>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</si>
  <si>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</si>
  <si>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</si>
  <si>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</si>
  <si>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</si>
  <si>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</si>
  <si>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</si>
  <si>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</si>
  <si>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</si>
  <si>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</si>
  <si>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</si>
  <si>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</si>
  <si>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</si>
  <si>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</si>
  <si>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</si>
  <si>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</si>
  <si>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</si>
  <si>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</si>
  <si>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</si>
  <si>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</si>
  <si>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</si>
  <si>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</si>
  <si>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</si>
  <si>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</si>
  <si>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</si>
  <si>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</si>
  <si>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</si>
  <si>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</si>
  <si>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</si>
  <si>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</si>
  <si>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</si>
  <si>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</si>
  <si>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</si>
  <si>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</si>
  <si>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</si>
  <si>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</si>
  <si>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</si>
  <si>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</si>
  <si>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</si>
  <si>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</si>
  <si>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</si>
  <si>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</si>
  <si>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</si>
  <si>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</si>
  <si>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</si>
  <si>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</si>
  <si>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</si>
  <si>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</si>
  <si>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</si>
  <si>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</si>
  <si>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</si>
  <si>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</si>
  <si>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</si>
  <si>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</si>
  <si>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</si>
  <si>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</si>
  <si>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</si>
  <si>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</si>
  <si>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</si>
  <si>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</si>
  <si>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</si>
  <si>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</si>
  <si>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</si>
  <si>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</si>
  <si>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</si>
  <si>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</si>
  <si>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</si>
  <si>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</si>
  <si>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</si>
  <si>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</si>
  <si>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</si>
  <si>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</si>
  <si>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</si>
  <si>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</si>
  <si>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</si>
  <si>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</si>
  <si>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</si>
  <si>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</si>
  <si>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</si>
  <si>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</si>
  <si>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</si>
  <si>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</si>
  <si>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</si>
  <si>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</si>
  <si>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</si>
  <si>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</si>
  <si>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</si>
  <si>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</si>
  <si>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</si>
  <si>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</si>
  <si>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</si>
  <si>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</si>
  <si>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</si>
  <si>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</si>
  <si>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</si>
  <si>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</si>
  <si>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</si>
  <si>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</si>
  <si>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</si>
  <si>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</si>
  <si>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</si>
  <si>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</si>
  <si>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</si>
  <si>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</si>
  <si>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</si>
  <si>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</si>
  <si>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</si>
  <si>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</si>
  <si>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</si>
  <si>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</si>
  <si>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</si>
  <si>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</si>
  <si>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</si>
  <si>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</si>
  <si>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</si>
  <si>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</si>
  <si>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</si>
  <si>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</si>
  <si>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</si>
  <si>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</si>
  <si>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</si>
  <si>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</si>
  <si>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</si>
  <si>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</si>
  <si>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</si>
  <si>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</si>
  <si>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</si>
  <si>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</si>
  <si>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</si>
  <si>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</si>
  <si>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</si>
  <si>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</si>
  <si>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</si>
  <si>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</si>
  <si>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</si>
  <si>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</si>
  <si>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</si>
  <si>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</si>
  <si>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</si>
  <si>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</si>
  <si>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</si>
  <si>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</si>
  <si>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</si>
  <si>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</si>
  <si>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</si>
  <si>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</si>
  <si>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</si>
  <si>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</si>
  <si>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</si>
  <si>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</si>
  <si>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</si>
  <si>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</si>
  <si>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</si>
  <si>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</si>
  <si>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</si>
  <si>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</si>
  <si>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</si>
  <si>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</si>
  <si>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</si>
  <si>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</si>
  <si>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</si>
  <si>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</si>
  <si>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</si>
  <si>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</si>
  <si>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</si>
  <si>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</si>
  <si>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</si>
  <si>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</si>
  <si>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</si>
  <si>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</si>
  <si>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</si>
  <si>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</si>
  <si>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</si>
  <si>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</si>
  <si>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</si>
  <si>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</si>
  <si>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</si>
  <si>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</si>
  <si>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</si>
  <si>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</si>
  <si>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</si>
  <si>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</si>
  <si>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</si>
  <si>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</si>
  <si>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</si>
  <si>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</si>
  <si>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</si>
  <si>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</si>
  <si>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</si>
  <si>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</si>
  <si>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</si>
  <si>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</si>
  <si>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</si>
  <si>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</si>
  <si>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</si>
  <si>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</si>
  <si>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</si>
  <si>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</si>
  <si>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</si>
  <si>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</si>
  <si>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</si>
  <si>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</si>
  <si>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</si>
  <si>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</si>
  <si>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</si>
  <si>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</si>
  <si>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</si>
  <si>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</si>
  <si>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</si>
  <si>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</si>
  <si>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</si>
  <si>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</si>
  <si>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</si>
  <si>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</si>
  <si>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</si>
  <si>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</si>
  <si>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</si>
  <si>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</si>
  <si>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</si>
  <si>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</si>
  <si>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</si>
  <si>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</si>
  <si>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</si>
  <si>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</si>
  <si>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</si>
  <si>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</si>
  <si>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</si>
  <si>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</si>
  <si>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</si>
  <si>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</si>
  <si>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</si>
  <si>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</si>
  <si>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</si>
  <si>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</si>
  <si>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</si>
  <si>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</si>
  <si>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</si>
  <si>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</si>
  <si>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</si>
  <si>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</si>
  <si>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</si>
  <si>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</si>
  <si>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</si>
  <si>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</si>
  <si>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</si>
  <si>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</si>
  <si>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</si>
  <si>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</si>
  <si>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</si>
  <si>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</si>
  <si>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</si>
  <si>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</si>
  <si>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</si>
  <si>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</si>
  <si>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</si>
  <si>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</si>
  <si>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</si>
  <si>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</si>
  <si>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</si>
  <si>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</si>
  <si>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</si>
  <si>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</si>
  <si>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</si>
  <si>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</si>
  <si>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</si>
  <si>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</si>
  <si>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</si>
  <si>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</si>
  <si>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</si>
  <si>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</si>
  <si>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</si>
  <si>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</si>
  <si>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</si>
  <si>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</si>
  <si>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</si>
  <si>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</si>
  <si>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</si>
  <si>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</si>
  <si>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</si>
  <si>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</si>
  <si>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</si>
  <si>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</si>
  <si>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</si>
  <si>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</si>
  <si>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</si>
  <si>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</si>
  <si>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</si>
  <si>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</si>
  <si>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</si>
  <si>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</si>
  <si>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</si>
  <si>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</si>
  <si>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</si>
  <si>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</si>
  <si>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</si>
  <si>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</si>
  <si>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</si>
  <si>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</si>
  <si>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</si>
  <si>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</si>
  <si>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</si>
  <si>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</si>
  <si>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</si>
  <si>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</si>
  <si>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</si>
  <si>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</si>
  <si>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</si>
  <si>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</si>
  <si>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</si>
  <si>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</si>
  <si>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</si>
  <si>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</si>
  <si>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</si>
  <si>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</si>
  <si>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</si>
  <si>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</si>
  <si>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</si>
  <si>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</si>
  <si>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</si>
  <si>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</si>
  <si>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</si>
  <si>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</si>
  <si>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</si>
  <si>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</si>
  <si>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</si>
  <si>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</si>
  <si>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</si>
  <si>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</si>
  <si>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</si>
  <si>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</si>
  <si>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</si>
  <si>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</si>
  <si>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</si>
  <si>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</si>
  <si>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</si>
  <si>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</si>
  <si>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</si>
  <si>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</si>
  <si>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</si>
  <si>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</si>
  <si>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</si>
  <si>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</si>
  <si>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</si>
  <si>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</si>
  <si>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</si>
  <si>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</si>
  <si>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</si>
  <si>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</si>
  <si>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</si>
  <si>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</si>
  <si>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</si>
  <si>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</si>
  <si>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</si>
  <si>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</si>
  <si>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</si>
  <si>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</si>
  <si>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</si>
  <si>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</si>
  <si>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</si>
  <si>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</si>
  <si>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</si>
  <si>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</si>
  <si>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</si>
  <si>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</si>
  <si>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</si>
  <si>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</si>
  <si>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</si>
  <si>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</si>
  <si>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</si>
  <si>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</si>
  <si>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</si>
  <si>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</si>
  <si>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</si>
  <si>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</si>
  <si>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</si>
  <si>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</si>
  <si>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</si>
  <si>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</si>
  <si>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</si>
  <si>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</si>
  <si>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</si>
  <si>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</si>
  <si>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</si>
  <si>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</si>
  <si>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</si>
  <si>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</si>
  <si>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</si>
  <si>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</si>
  <si>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</si>
  <si>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</si>
  <si>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</si>
  <si>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</si>
  <si>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</si>
  <si>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</si>
  <si>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</si>
  <si>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</si>
  <si>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</si>
  <si>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</si>
  <si>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</si>
  <si>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</si>
  <si>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</si>
  <si>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</si>
  <si>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</si>
  <si>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</si>
  <si>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</si>
  <si>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</si>
  <si>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</si>
  <si>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</si>
  <si>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</si>
  <si>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</si>
  <si>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</si>
  <si>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</si>
  <si>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</si>
  <si>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</si>
  <si>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</si>
  <si>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</si>
  <si>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</si>
  <si>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</si>
  <si>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</si>
  <si>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</si>
  <si>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</si>
  <si>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</si>
  <si>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</si>
  <si>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</si>
  <si>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</si>
  <si>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</si>
  <si>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</si>
  <si>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</si>
  <si>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</si>
  <si>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</si>
  <si>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</si>
  <si>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</si>
  <si>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</si>
  <si>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</si>
  <si>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</si>
  <si>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</si>
  <si>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</si>
  <si>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</si>
  <si>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</si>
  <si>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</si>
  <si>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</si>
  <si>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</si>
  <si>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</si>
  <si>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</si>
  <si>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</si>
  <si>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</si>
  <si>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</si>
  <si>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</si>
  <si>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</si>
  <si>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</si>
  <si>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</si>
  <si>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</si>
  <si>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</si>
  <si>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</si>
  <si>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</si>
  <si>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</si>
  <si>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</si>
  <si>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</si>
  <si>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</si>
  <si>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</si>
  <si>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</si>
  <si>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</si>
  <si>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</si>
  <si>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</si>
  <si>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</si>
  <si>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</si>
  <si>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</si>
  <si>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</si>
  <si>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</si>
  <si>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</si>
  <si>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</si>
  <si>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</si>
  <si>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</si>
  <si>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43010</t>
  </si>
  <si>
    <t>MALDEGEM</t>
  </si>
  <si>
    <t>Paarden&amp;pony's 200 - 600 kg</t>
  </si>
  <si>
    <t>Paarden&amp;pony's &lt; 200 kg</t>
  </si>
  <si>
    <t>op basis van VEA (maart 2018) en Inventaris Hernieuwbare Energiebronnen (juni 2018)</t>
  </si>
  <si>
    <t>VEA (juni 2018)</t>
  </si>
  <si>
    <t>Hermie LV</t>
  </si>
  <si>
    <t>Heulendonk 35 , 9991 Adegem</t>
  </si>
  <si>
    <t>WKK-0497 Hermie</t>
  </si>
  <si>
    <t>interne verbrandingsmotor</t>
  </si>
  <si>
    <t>WKK interne verbrandinsgmotor (gas)</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</si>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</sst>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43010</v>
      </c>
      <c r="B6" s="397"/>
      <c r="C6" s="398"/>
    </row>
    <row r="7" spans="1:7" s="395" customFormat="1" ht="15.75" customHeight="1">
      <c r="A7" s="399" t="str">
        <f>txtMunicipality</f>
        <v>MALDEGEM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0.15627235510704685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0.15627235510704685</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43010</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9601</v>
      </c>
      <c r="C9" s="338">
        <v>10006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6493</v>
      </c>
    </row>
    <row r="15" spans="1:6">
      <c r="A15" s="1286" t="s">
        <v>184</v>
      </c>
      <c r="B15" s="335">
        <v>512</v>
      </c>
    </row>
    <row r="16" spans="1:6">
      <c r="A16" s="1286" t="s">
        <v>6</v>
      </c>
      <c r="B16" s="335">
        <v>3811</v>
      </c>
    </row>
    <row r="17" spans="1:6">
      <c r="A17" s="1286" t="s">
        <v>7</v>
      </c>
      <c r="B17" s="335">
        <v>2560</v>
      </c>
    </row>
    <row r="18" spans="1:6">
      <c r="A18" s="1286" t="s">
        <v>8</v>
      </c>
      <c r="B18" s="335">
        <v>4213</v>
      </c>
    </row>
    <row r="19" spans="1:6">
      <c r="A19" s="1286" t="s">
        <v>9</v>
      </c>
      <c r="B19" s="335">
        <v>3725</v>
      </c>
    </row>
    <row r="20" spans="1:6">
      <c r="A20" s="1286" t="s">
        <v>10</v>
      </c>
      <c r="B20" s="335">
        <v>2392</v>
      </c>
    </row>
    <row r="21" spans="1:6">
      <c r="A21" s="1286" t="s">
        <v>11</v>
      </c>
      <c r="B21" s="335">
        <v>14349</v>
      </c>
    </row>
    <row r="22" spans="1:6">
      <c r="A22" s="1286" t="s">
        <v>12</v>
      </c>
      <c r="B22" s="335">
        <v>31163</v>
      </c>
    </row>
    <row r="23" spans="1:6">
      <c r="A23" s="1286" t="s">
        <v>13</v>
      </c>
      <c r="B23" s="335">
        <v>597</v>
      </c>
    </row>
    <row r="24" spans="1:6">
      <c r="A24" s="1286" t="s">
        <v>14</v>
      </c>
      <c r="B24" s="335">
        <v>36</v>
      </c>
    </row>
    <row r="25" spans="1:6">
      <c r="A25" s="1286" t="s">
        <v>15</v>
      </c>
      <c r="B25" s="335">
        <v>3863</v>
      </c>
    </row>
    <row r="26" spans="1:6">
      <c r="A26" s="1286" t="s">
        <v>16</v>
      </c>
      <c r="B26" s="335">
        <v>704</v>
      </c>
    </row>
    <row r="27" spans="1:6">
      <c r="A27" s="1286" t="s">
        <v>17</v>
      </c>
      <c r="B27" s="335">
        <v>721</v>
      </c>
    </row>
    <row r="28" spans="1:6" s="341" customFormat="1">
      <c r="A28" s="1287" t="s">
        <v>18</v>
      </c>
      <c r="B28" s="1287">
        <v>72068</v>
      </c>
    </row>
    <row r="29" spans="1:6">
      <c r="A29" s="1287" t="s">
        <v>944</v>
      </c>
      <c r="B29" s="1287">
        <v>410</v>
      </c>
      <c r="C29" s="341"/>
      <c r="D29" s="341"/>
      <c r="E29" s="341"/>
      <c r="F29" s="341"/>
    </row>
    <row r="30" spans="1:6">
      <c r="A30" s="1282" t="s">
        <v>945</v>
      </c>
      <c r="B30" s="1282">
        <v>150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2</v>
      </c>
      <c r="D38" s="335">
        <v>4251090.1426916104</v>
      </c>
      <c r="E38" s="335">
        <v>10</v>
      </c>
      <c r="F38" s="335">
        <v>426015.74208463897</v>
      </c>
    </row>
    <row r="39" spans="1:6">
      <c r="A39" s="1286" t="s">
        <v>30</v>
      </c>
      <c r="B39" s="1286" t="s">
        <v>31</v>
      </c>
      <c r="C39" s="335">
        <v>5737</v>
      </c>
      <c r="D39" s="335">
        <v>101192942.570621</v>
      </c>
      <c r="E39" s="335">
        <v>9105</v>
      </c>
      <c r="F39" s="335">
        <v>42110228.575016797</v>
      </c>
    </row>
    <row r="40" spans="1:6">
      <c r="A40" s="1286" t="s">
        <v>30</v>
      </c>
      <c r="B40" s="1286" t="s">
        <v>29</v>
      </c>
      <c r="C40" s="335">
        <v>0</v>
      </c>
      <c r="D40" s="335">
        <v>0</v>
      </c>
      <c r="E40" s="335">
        <v>0</v>
      </c>
      <c r="F40" s="335">
        <v>0</v>
      </c>
    </row>
    <row r="41" spans="1:6">
      <c r="A41" s="1286" t="s">
        <v>32</v>
      </c>
      <c r="B41" s="1286" t="s">
        <v>33</v>
      </c>
      <c r="C41" s="335">
        <v>111</v>
      </c>
      <c r="D41" s="335">
        <v>4926216.1501216404</v>
      </c>
      <c r="E41" s="335">
        <v>278</v>
      </c>
      <c r="F41" s="335">
        <v>4608071.61301303</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3</v>
      </c>
      <c r="D44" s="335">
        <v>124370.93290716399</v>
      </c>
      <c r="E44" s="335">
        <v>24</v>
      </c>
      <c r="F44" s="335">
        <v>1326972.8118328</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4</v>
      </c>
      <c r="D47" s="335">
        <v>533277.10973103705</v>
      </c>
      <c r="E47" s="335">
        <v>4</v>
      </c>
      <c r="F47" s="335">
        <v>1299422.5114661399</v>
      </c>
    </row>
    <row r="48" spans="1:6">
      <c r="A48" s="1286" t="s">
        <v>32</v>
      </c>
      <c r="B48" s="1286" t="s">
        <v>29</v>
      </c>
      <c r="C48" s="335">
        <v>57</v>
      </c>
      <c r="D48" s="335">
        <v>3390982.8879067102</v>
      </c>
      <c r="E48" s="335">
        <v>89</v>
      </c>
      <c r="F48" s="335">
        <v>19762887.2601154</v>
      </c>
    </row>
    <row r="49" spans="1:6">
      <c r="A49" s="1286" t="s">
        <v>32</v>
      </c>
      <c r="B49" s="1286" t="s">
        <v>40</v>
      </c>
      <c r="C49" s="335">
        <v>0</v>
      </c>
      <c r="D49" s="335">
        <v>0</v>
      </c>
      <c r="E49" s="335">
        <v>0</v>
      </c>
      <c r="F49" s="335">
        <v>0</v>
      </c>
    </row>
    <row r="50" spans="1:6">
      <c r="A50" s="1286" t="s">
        <v>32</v>
      </c>
      <c r="B50" s="1286" t="s">
        <v>41</v>
      </c>
      <c r="C50" s="335">
        <v>15</v>
      </c>
      <c r="D50" s="335">
        <v>7783938.2263509901</v>
      </c>
      <c r="E50" s="335">
        <v>28</v>
      </c>
      <c r="F50" s="335">
        <v>7075444.5299758902</v>
      </c>
    </row>
    <row r="51" spans="1:6">
      <c r="A51" s="1286" t="s">
        <v>42</v>
      </c>
      <c r="B51" s="1286" t="s">
        <v>43</v>
      </c>
      <c r="C51" s="335">
        <v>16</v>
      </c>
      <c r="D51" s="335">
        <v>202133.505466423</v>
      </c>
      <c r="E51" s="335">
        <v>229</v>
      </c>
      <c r="F51" s="335">
        <v>4963719.3870903403</v>
      </c>
    </row>
    <row r="52" spans="1:6">
      <c r="A52" s="1286" t="s">
        <v>42</v>
      </c>
      <c r="B52" s="1286" t="s">
        <v>29</v>
      </c>
      <c r="C52" s="335">
        <v>2</v>
      </c>
      <c r="D52" s="335">
        <v>42179.577316577299</v>
      </c>
      <c r="E52" s="335">
        <v>27</v>
      </c>
      <c r="F52" s="335">
        <v>487171.16696608701</v>
      </c>
    </row>
    <row r="53" spans="1:6">
      <c r="A53" s="1286" t="s">
        <v>44</v>
      </c>
      <c r="B53" s="1286" t="s">
        <v>45</v>
      </c>
      <c r="C53" s="335">
        <v>119</v>
      </c>
      <c r="D53" s="335">
        <v>3173754.4925299799</v>
      </c>
      <c r="E53" s="335">
        <v>237</v>
      </c>
      <c r="F53" s="335">
        <v>1683083.91984253</v>
      </c>
    </row>
    <row r="54" spans="1:6">
      <c r="A54" s="1286" t="s">
        <v>46</v>
      </c>
      <c r="B54" s="1286" t="s">
        <v>47</v>
      </c>
      <c r="C54" s="335">
        <v>0</v>
      </c>
      <c r="D54" s="335">
        <v>0</v>
      </c>
      <c r="E54" s="335">
        <v>3</v>
      </c>
      <c r="F54" s="335">
        <v>1556915</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49</v>
      </c>
      <c r="D57" s="335">
        <v>2748558.6241834201</v>
      </c>
      <c r="E57" s="335">
        <v>91</v>
      </c>
      <c r="F57" s="335">
        <v>2912996.7859793701</v>
      </c>
    </row>
    <row r="58" spans="1:6">
      <c r="A58" s="1286" t="s">
        <v>49</v>
      </c>
      <c r="B58" s="1286" t="s">
        <v>51</v>
      </c>
      <c r="C58" s="335">
        <v>22</v>
      </c>
      <c r="D58" s="335">
        <v>1672555.4932093001</v>
      </c>
      <c r="E58" s="335">
        <v>53</v>
      </c>
      <c r="F58" s="335">
        <v>847103.80167449801</v>
      </c>
    </row>
    <row r="59" spans="1:6">
      <c r="A59" s="1286" t="s">
        <v>49</v>
      </c>
      <c r="B59" s="1286" t="s">
        <v>52</v>
      </c>
      <c r="C59" s="335">
        <v>165</v>
      </c>
      <c r="D59" s="335">
        <v>7709782.5964782303</v>
      </c>
      <c r="E59" s="335">
        <v>367</v>
      </c>
      <c r="F59" s="335">
        <v>7797135.7876895899</v>
      </c>
    </row>
    <row r="60" spans="1:6">
      <c r="A60" s="1286" t="s">
        <v>49</v>
      </c>
      <c r="B60" s="1286" t="s">
        <v>53</v>
      </c>
      <c r="C60" s="335">
        <v>71</v>
      </c>
      <c r="D60" s="335">
        <v>3055569.50526135</v>
      </c>
      <c r="E60" s="335">
        <v>125</v>
      </c>
      <c r="F60" s="335">
        <v>3523867.8070975398</v>
      </c>
    </row>
    <row r="61" spans="1:6">
      <c r="A61" s="1286" t="s">
        <v>49</v>
      </c>
      <c r="B61" s="1286" t="s">
        <v>54</v>
      </c>
      <c r="C61" s="335">
        <v>163</v>
      </c>
      <c r="D61" s="335">
        <v>8502601.7042458095</v>
      </c>
      <c r="E61" s="335">
        <v>337</v>
      </c>
      <c r="F61" s="335">
        <v>4588634.3378275102</v>
      </c>
    </row>
    <row r="62" spans="1:6">
      <c r="A62" s="1286" t="s">
        <v>49</v>
      </c>
      <c r="B62" s="1286" t="s">
        <v>55</v>
      </c>
      <c r="C62" s="335">
        <v>6</v>
      </c>
      <c r="D62" s="335">
        <v>505911.851267374</v>
      </c>
      <c r="E62" s="335">
        <v>15</v>
      </c>
      <c r="F62" s="335">
        <v>277344.66509891499</v>
      </c>
    </row>
    <row r="63" spans="1:6">
      <c r="A63" s="1286" t="s">
        <v>49</v>
      </c>
      <c r="B63" s="1286" t="s">
        <v>29</v>
      </c>
      <c r="C63" s="335">
        <v>167</v>
      </c>
      <c r="D63" s="335">
        <v>9125639.5952859893</v>
      </c>
      <c r="E63" s="335">
        <v>198</v>
      </c>
      <c r="F63" s="335">
        <v>3313679.2796110502</v>
      </c>
    </row>
    <row r="64" spans="1:6">
      <c r="A64" s="1286" t="s">
        <v>56</v>
      </c>
      <c r="B64" s="1286" t="s">
        <v>57</v>
      </c>
      <c r="C64" s="335">
        <v>0</v>
      </c>
      <c r="D64" s="335">
        <v>0</v>
      </c>
      <c r="E64" s="335">
        <v>0</v>
      </c>
      <c r="F64" s="335">
        <v>0</v>
      </c>
    </row>
    <row r="65" spans="1:6">
      <c r="A65" s="1286" t="s">
        <v>56</v>
      </c>
      <c r="B65" s="1286" t="s">
        <v>29</v>
      </c>
      <c r="C65" s="335">
        <v>3</v>
      </c>
      <c r="D65" s="335">
        <v>117293.235190732</v>
      </c>
      <c r="E65" s="335">
        <v>5</v>
      </c>
      <c r="F65" s="335">
        <v>75017.955008078905</v>
      </c>
    </row>
    <row r="66" spans="1:6">
      <c r="A66" s="1286" t="s">
        <v>56</v>
      </c>
      <c r="B66" s="1286" t="s">
        <v>58</v>
      </c>
      <c r="C66" s="335">
        <v>0</v>
      </c>
      <c r="D66" s="335">
        <v>0</v>
      </c>
      <c r="E66" s="335">
        <v>0</v>
      </c>
      <c r="F66" s="335">
        <v>0</v>
      </c>
    </row>
    <row r="67" spans="1:6">
      <c r="A67" s="1287" t="s">
        <v>56</v>
      </c>
      <c r="B67" s="1287" t="s">
        <v>59</v>
      </c>
      <c r="C67" s="335">
        <v>0</v>
      </c>
      <c r="D67" s="335">
        <v>0</v>
      </c>
      <c r="E67" s="335">
        <v>67</v>
      </c>
      <c r="F67" s="335">
        <v>899580.794996941</v>
      </c>
    </row>
    <row r="68" spans="1:6">
      <c r="A68" s="1282" t="s">
        <v>56</v>
      </c>
      <c r="B68" s="1282" t="s">
        <v>60</v>
      </c>
      <c r="C68" s="335">
        <v>8</v>
      </c>
      <c r="D68" s="335">
        <v>247957.497585768</v>
      </c>
      <c r="E68" s="335">
        <v>19</v>
      </c>
      <c r="F68" s="335">
        <v>230233.25393885301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182630710</v>
      </c>
      <c r="E73" s="335">
        <v>199846346.66137004</v>
      </c>
    </row>
    <row r="74" spans="1:6">
      <c r="A74" s="1286" t="s">
        <v>64</v>
      </c>
      <c r="B74" s="1286" t="s">
        <v>772</v>
      </c>
      <c r="C74" s="1297" t="s">
        <v>766</v>
      </c>
      <c r="D74" s="335">
        <v>20028219.295155343</v>
      </c>
      <c r="E74" s="335">
        <v>20770724.499729294</v>
      </c>
    </row>
    <row r="75" spans="1:6">
      <c r="A75" s="1286" t="s">
        <v>65</v>
      </c>
      <c r="B75" s="1286" t="s">
        <v>771</v>
      </c>
      <c r="C75" s="1297" t="s">
        <v>767</v>
      </c>
      <c r="D75" s="335">
        <v>46266976</v>
      </c>
      <c r="E75" s="335">
        <v>51087896.762712181</v>
      </c>
    </row>
    <row r="76" spans="1:6">
      <c r="A76" s="1286" t="s">
        <v>65</v>
      </c>
      <c r="B76" s="1286" t="s">
        <v>772</v>
      </c>
      <c r="C76" s="1297" t="s">
        <v>768</v>
      </c>
      <c r="D76" s="335">
        <v>2328705.2951553431</v>
      </c>
      <c r="E76" s="335">
        <v>2381691.752683741</v>
      </c>
    </row>
    <row r="77" spans="1:6">
      <c r="A77" s="1286" t="s">
        <v>66</v>
      </c>
      <c r="B77" s="1286" t="s">
        <v>771</v>
      </c>
      <c r="C77" s="1297" t="s">
        <v>769</v>
      </c>
      <c r="D77" s="335">
        <v>10999197</v>
      </c>
      <c r="E77" s="335">
        <v>12013704.009214032</v>
      </c>
    </row>
    <row r="78" spans="1:6">
      <c r="A78" s="1282" t="s">
        <v>66</v>
      </c>
      <c r="B78" s="1282" t="s">
        <v>772</v>
      </c>
      <c r="C78" s="1282" t="s">
        <v>770</v>
      </c>
      <c r="D78" s="1282">
        <v>1702012</v>
      </c>
      <c r="E78" s="1282">
        <v>2008232.2797531392</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419445.40968931332</v>
      </c>
      <c r="C83" s="335">
        <v>402866.49781702034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26653.028448561028</v>
      </c>
    </row>
    <row r="91" spans="1:6">
      <c r="A91" s="1286" t="s">
        <v>68</v>
      </c>
      <c r="B91" s="335">
        <v>3394.085954985761</v>
      </c>
    </row>
    <row r="92" spans="1:6">
      <c r="A92" s="1282" t="s">
        <v>69</v>
      </c>
      <c r="B92" s="338">
        <v>2575.8465359950419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3634</v>
      </c>
    </row>
    <row r="98" spans="1:6">
      <c r="A98" s="1286" t="s">
        <v>72</v>
      </c>
      <c r="B98" s="335">
        <v>2</v>
      </c>
    </row>
    <row r="99" spans="1:6">
      <c r="A99" s="1286" t="s">
        <v>73</v>
      </c>
      <c r="B99" s="335">
        <v>273</v>
      </c>
    </row>
    <row r="100" spans="1:6">
      <c r="A100" s="1286" t="s">
        <v>74</v>
      </c>
      <c r="B100" s="335">
        <v>857</v>
      </c>
    </row>
    <row r="101" spans="1:6">
      <c r="A101" s="1286" t="s">
        <v>75</v>
      </c>
      <c r="B101" s="335">
        <v>251</v>
      </c>
    </row>
    <row r="102" spans="1:6">
      <c r="A102" s="1286" t="s">
        <v>76</v>
      </c>
      <c r="B102" s="335">
        <v>175</v>
      </c>
    </row>
    <row r="103" spans="1:6">
      <c r="A103" s="1286" t="s">
        <v>77</v>
      </c>
      <c r="B103" s="335">
        <v>357</v>
      </c>
    </row>
    <row r="104" spans="1:6">
      <c r="A104" s="1286" t="s">
        <v>78</v>
      </c>
      <c r="B104" s="335">
        <v>2984</v>
      </c>
    </row>
    <row r="105" spans="1:6">
      <c r="A105" s="1282" t="s">
        <v>79</v>
      </c>
      <c r="B105" s="1282">
        <v>18</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23</v>
      </c>
      <c r="C123" s="335">
        <v>10</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74</v>
      </c>
    </row>
    <row r="130" spans="1:6">
      <c r="A130" s="1286" t="s">
        <v>295</v>
      </c>
      <c r="B130" s="335">
        <v>0</v>
      </c>
    </row>
    <row r="131" spans="1:6">
      <c r="A131" s="1286" t="s">
        <v>296</v>
      </c>
      <c r="B131" s="335">
        <v>0</v>
      </c>
    </row>
    <row r="132" spans="1:6">
      <c r="A132" s="1282" t="s">
        <v>297</v>
      </c>
      <c r="B132" s="338">
        <v>6</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111533.81263257898</v>
      </c>
      <c r="C3" s="44" t="s">
        <v>170</v>
      </c>
      <c r="D3" s="44"/>
      <c r="E3" s="157"/>
      <c r="F3" s="44"/>
      <c r="G3" s="44"/>
      <c r="H3" s="44"/>
      <c r="I3" s="44"/>
      <c r="J3" s="44"/>
      <c r="K3" s="97"/>
    </row>
    <row r="4" spans="1:11">
      <c r="A4" s="365" t="s">
        <v>171</v>
      </c>
      <c r="B4" s="50">
        <f>IF(ISERROR('SEAP template'!B78+'SEAP template'!C78),0,'SEAP template'!B78+'SEAP template'!C78)</f>
        <v>32666.610939541832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0.15627235510704685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62.357142857142847</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1556.915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1556.915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0.15627235510704685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243.30277375148782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42110.228575016794</v>
      </c>
      <c r="C5" s="18">
        <f>IF(ISERROR('Eigen informatie GS &amp; warmtenet'!B57),0,'Eigen informatie GS &amp; warmtenet'!B57)</f>
        <v>0</v>
      </c>
      <c r="D5" s="31">
        <f>(SUM(HH_hh_gas_kWh,HH_rest_gas_kWh)/1000)*0.902</f>
        <v>91276.034198700145</v>
      </c>
      <c r="E5" s="18">
        <f>B46*B57</f>
        <v>11313.11381761413</v>
      </c>
      <c r="F5" s="18">
        <f>B51*B62</f>
        <v>21542.135725280947</v>
      </c>
      <c r="G5" s="19"/>
      <c r="H5" s="18"/>
      <c r="I5" s="18"/>
      <c r="J5" s="18">
        <f>B50*B61+C50*C61</f>
        <v>4629.4146611155284</v>
      </c>
      <c r="K5" s="18"/>
      <c r="L5" s="18"/>
      <c r="M5" s="18"/>
      <c r="N5" s="18">
        <f>B48*B59+C48*C59</f>
        <v>33779.099316185027</v>
      </c>
      <c r="O5" s="18">
        <f>B69*B70*B71</f>
        <v>131.32000000000002</v>
      </c>
      <c r="P5" s="18">
        <f>B77*B78*B79/1000-B77*B78*B79/1000/B80</f>
        <v>552.93333333333339</v>
      </c>
    </row>
    <row r="6" spans="1:16">
      <c r="A6" s="17" t="s">
        <v>639</v>
      </c>
      <c r="B6" s="780">
        <f>kWh_PV_kleiner_dan_10kW</f>
        <v>3394.085954985761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45504.314530002557</v>
      </c>
      <c r="C8" s="22">
        <f>C5</f>
        <v>0</v>
      </c>
      <c r="D8" s="22">
        <f>D5</f>
        <v>91276.034198700145</v>
      </c>
      <c r="E8" s="22">
        <f>E5</f>
        <v>11313.11381761413</v>
      </c>
      <c r="F8" s="22">
        <f>F5</f>
        <v>21542.135725280947</v>
      </c>
      <c r="G8" s="22"/>
      <c r="H8" s="22"/>
      <c r="I8" s="22"/>
      <c r="J8" s="22">
        <f>J5</f>
        <v>4629.4146611155284</v>
      </c>
      <c r="K8" s="22"/>
      <c r="L8" s="22">
        <f>L5</f>
        <v>0</v>
      </c>
      <c r="M8" s="22">
        <f>M5</f>
        <v>0</v>
      </c>
      <c r="N8" s="22">
        <f>N5</f>
        <v>33779.099316185027</v>
      </c>
      <c r="O8" s="22">
        <f>O5</f>
        <v>131.32000000000002</v>
      </c>
      <c r="P8" s="22">
        <f>P5</f>
        <v>552.93333333333339</v>
      </c>
    </row>
    <row r="9" spans="1:16">
      <c r="B9" s="20"/>
      <c r="C9" s="20"/>
      <c r="D9" s="262"/>
      <c r="E9" s="20"/>
      <c r="F9" s="20"/>
      <c r="G9" s="20"/>
      <c r="H9" s="20"/>
      <c r="I9" s="20"/>
      <c r="J9" s="20"/>
      <c r="K9" s="20"/>
      <c r="L9" s="20"/>
      <c r="M9" s="20"/>
      <c r="N9" s="20"/>
      <c r="O9" s="20"/>
      <c r="P9" s="20"/>
    </row>
    <row r="10" spans="1:16">
      <c r="A10" s="25" t="s">
        <v>214</v>
      </c>
      <c r="B10" s="26">
        <f ca="1">'EF ele_warmte'!B12</f>
        <v>0.15627235510704685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7111.0663991353113</v>
      </c>
      <c r="C12" s="24">
        <f ca="1">C10*C8</f>
        <v>0</v>
      </c>
      <c r="D12" s="24">
        <f>D8*D10</f>
        <v>18437.758908137432</v>
      </c>
      <c r="E12" s="24">
        <f>E10*E8</f>
        <v>2568.0768365984077</v>
      </c>
      <c r="F12" s="24">
        <f>F10*F8</f>
        <v>5751.7502386500128</v>
      </c>
      <c r="G12" s="24"/>
      <c r="H12" s="24"/>
      <c r="I12" s="24"/>
      <c r="J12" s="24">
        <f>J10*J8</f>
        <v>1638.812790034897</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3634</v>
      </c>
      <c r="C18" s="169" t="s">
        <v>111</v>
      </c>
      <c r="D18" s="231"/>
      <c r="E18" s="16"/>
    </row>
    <row r="19" spans="1:7">
      <c r="A19" s="174" t="s">
        <v>72</v>
      </c>
      <c r="B19" s="38">
        <f>aantalw2001_ander</f>
        <v>2</v>
      </c>
      <c r="C19" s="169" t="s">
        <v>111</v>
      </c>
      <c r="D19" s="232"/>
      <c r="E19" s="16"/>
    </row>
    <row r="20" spans="1:7">
      <c r="A20" s="174" t="s">
        <v>73</v>
      </c>
      <c r="B20" s="38">
        <f>aantalw2001_propaan</f>
        <v>273</v>
      </c>
      <c r="C20" s="170">
        <f>IF(ISERROR(B20/SUM($B$20,$B$21,$B$22)*100),0,B20/SUM($B$20,$B$21,$B$22)*100)</f>
        <v>19.768283852280955</v>
      </c>
      <c r="D20" s="232"/>
      <c r="E20" s="16"/>
    </row>
    <row r="21" spans="1:7">
      <c r="A21" s="174" t="s">
        <v>74</v>
      </c>
      <c r="B21" s="38">
        <f>aantalw2001_elektriciteit</f>
        <v>857</v>
      </c>
      <c r="C21" s="170">
        <f>IF(ISERROR(B21/SUM($B$20,$B$21,$B$22)*100),0,B21/SUM($B$20,$B$21,$B$22)*100)</f>
        <v>62.056480811006523</v>
      </c>
      <c r="D21" s="232"/>
      <c r="E21" s="16"/>
    </row>
    <row r="22" spans="1:7">
      <c r="A22" s="174" t="s">
        <v>75</v>
      </c>
      <c r="B22" s="38">
        <f>aantalw2001_hout</f>
        <v>251</v>
      </c>
      <c r="C22" s="170">
        <f>IF(ISERROR(B22/SUM($B$20,$B$21,$B$22)*100),0,B22/SUM($B$20,$B$21,$B$22)*100)</f>
        <v>18.175235336712529</v>
      </c>
      <c r="D22" s="232"/>
      <c r="E22" s="16"/>
    </row>
    <row r="23" spans="1:7">
      <c r="A23" s="174" t="s">
        <v>76</v>
      </c>
      <c r="B23" s="38">
        <f>aantalw2001_niet_gespec</f>
        <v>175</v>
      </c>
      <c r="C23" s="169" t="s">
        <v>111</v>
      </c>
      <c r="D23" s="231"/>
      <c r="E23" s="16"/>
    </row>
    <row r="24" spans="1:7">
      <c r="A24" s="174" t="s">
        <v>77</v>
      </c>
      <c r="B24" s="38">
        <f>aantalw2001_steenkool</f>
        <v>357</v>
      </c>
      <c r="C24" s="169" t="s">
        <v>111</v>
      </c>
      <c r="D24" s="232"/>
      <c r="E24" s="16"/>
    </row>
    <row r="25" spans="1:7">
      <c r="A25" s="174" t="s">
        <v>78</v>
      </c>
      <c r="B25" s="38">
        <f>aantalw2001_stookolie</f>
        <v>2984</v>
      </c>
      <c r="C25" s="169" t="s">
        <v>111</v>
      </c>
      <c r="D25" s="231"/>
      <c r="E25" s="53"/>
    </row>
    <row r="26" spans="1:7">
      <c r="A26" s="174" t="s">
        <v>79</v>
      </c>
      <c r="B26" s="38">
        <f>aantalw2001_WP</f>
        <v>18</v>
      </c>
      <c r="C26" s="169" t="s">
        <v>111</v>
      </c>
      <c r="D26" s="231"/>
      <c r="E26" s="16"/>
    </row>
    <row r="27" spans="1:7" s="16" customFormat="1">
      <c r="A27" s="174"/>
      <c r="B27" s="30"/>
      <c r="C27" s="37"/>
      <c r="D27" s="231"/>
    </row>
    <row r="28" spans="1:7" s="16" customFormat="1">
      <c r="A28" s="233" t="s">
        <v>665</v>
      </c>
      <c r="B28" s="38">
        <f>aantalHuishoudens2011</f>
        <v>9601</v>
      </c>
      <c r="C28" s="37"/>
      <c r="D28" s="231"/>
    </row>
    <row r="29" spans="1:7" s="16" customFormat="1">
      <c r="A29" s="233" t="s">
        <v>666</v>
      </c>
      <c r="B29" s="38">
        <f>SUM(HH_hh_gas_aantal,HH_rest_gas_aantal)</f>
        <v>5737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5737</v>
      </c>
      <c r="C32" s="170">
        <f>IF(ISERROR(B32/SUM($B$32,$B$34,$B$35,$B$36,$B$38,$B$39)*100),0,B32/SUM($B$32,$B$34,$B$35,$B$36,$B$38,$B$39)*100)</f>
        <v>59.935227747597153</v>
      </c>
      <c r="D32" s="236"/>
      <c r="G32" s="16"/>
    </row>
    <row r="33" spans="1:7">
      <c r="A33" s="174" t="s">
        <v>72</v>
      </c>
      <c r="B33" s="35" t="s">
        <v>111</v>
      </c>
      <c r="C33" s="170"/>
      <c r="D33" s="236"/>
      <c r="G33" s="16"/>
    </row>
    <row r="34" spans="1:7">
      <c r="A34" s="174" t="s">
        <v>73</v>
      </c>
      <c r="B34" s="34">
        <f>IF((($B$28-$B$32-$B$39-$B$77-$B$38)*C20/100)&lt;0,0,($B$28-$B$32-$B$39-$B$77-$B$38)*C20/100)</f>
        <v>513.38233164373639</v>
      </c>
      <c r="C34" s="170">
        <f>IF(ISERROR(B34/SUM($B$32,$B$34,$B$35,$B$36,$B$38,$B$39)*100),0,B34/SUM($B$32,$B$34,$B$35,$B$36,$B$38,$B$39)*100)</f>
        <v>5.3633758007076517</v>
      </c>
      <c r="D34" s="236"/>
      <c r="G34" s="16"/>
    </row>
    <row r="35" spans="1:7">
      <c r="A35" s="174" t="s">
        <v>74</v>
      </c>
      <c r="B35" s="34">
        <f>IF((($B$28-$B$32-$B$39-$B$77-$B$38)*C21/100)&lt;0,0,($B$28-$B$32-$B$39-$B$77-$B$38)*C21/100)</f>
        <v>1611.6068066618393</v>
      </c>
      <c r="C35" s="170">
        <f>IF(ISERROR(B35/SUM($B$32,$B$34,$B$35,$B$36,$B$38,$B$39)*100),0,B35/SUM($B$32,$B$34,$B$35,$B$36,$B$38,$B$39)*100)</f>
        <v>16.836677879877136</v>
      </c>
      <c r="D35" s="236"/>
      <c r="G35" s="16"/>
    </row>
    <row r="36" spans="1:7">
      <c r="A36" s="174" t="s">
        <v>75</v>
      </c>
      <c r="B36" s="34">
        <f>IF((($B$28-$B$32-$B$39-$B$77-$B$38)*C22/100)&lt;0,0,($B$28-$B$32-$B$39-$B$77-$B$38)*C22/100)</f>
        <v>472.01086169442436</v>
      </c>
      <c r="C36" s="170">
        <f>IF(ISERROR(B36/SUM($B$32,$B$34,$B$35,$B$36,$B$38,$B$39)*100),0,B36/SUM($B$32,$B$34,$B$35,$B$36,$B$38,$B$39)*100)</f>
        <v>4.9311623662183912</v>
      </c>
      <c r="D36" s="236"/>
      <c r="G36" s="16"/>
    </row>
    <row r="37" spans="1:7">
      <c r="A37" s="174" t="s">
        <v>76</v>
      </c>
      <c r="B37" s="35" t="s">
        <v>111</v>
      </c>
      <c r="C37" s="170"/>
      <c r="D37" s="176"/>
      <c r="G37" s="16"/>
    </row>
    <row r="38" spans="1:7">
      <c r="A38" s="174" t="s">
        <v>77</v>
      </c>
      <c r="B38" s="34">
        <f>IF((B24-(B29-B18)*0.1)&lt;0,0,B24-(B29-B18)*0.1)</f>
        <v>146.69999999999999</v>
      </c>
      <c r="C38" s="170">
        <f>IF(ISERROR(B38/SUM($B$32,$B$34,$B$35,$B$36,$B$38,$B$39)*100),0,B38/SUM($B$32,$B$34,$B$35,$B$36,$B$38,$B$39)*100)</f>
        <v>1.5325950689511072</v>
      </c>
      <c r="D38" s="237"/>
      <c r="G38" s="16"/>
    </row>
    <row r="39" spans="1:7">
      <c r="A39" s="174" t="s">
        <v>78</v>
      </c>
      <c r="B39" s="34">
        <f>IF((B25-(B29-B18))&lt;0,0,B25-(B29-B18)*0.9)</f>
        <v>1091.3</v>
      </c>
      <c r="C39" s="170">
        <f>IF(ISERROR(B39/SUM($B$32,$B$34,$B$35,$B$36,$B$38,$B$39)*100),0,B39/SUM($B$32,$B$34,$B$35,$B$36,$B$38,$B$39)*100)</f>
        <v>11.400961136648558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5737</v>
      </c>
      <c r="C44" s="35" t="s">
        <v>111</v>
      </c>
      <c r="D44" s="177"/>
    </row>
    <row r="45" spans="1:7">
      <c r="A45" s="174" t="s">
        <v>72</v>
      </c>
      <c r="B45" s="34" t="str">
        <f t="shared" si="0"/>
        <v>-</v>
      </c>
      <c r="C45" s="35" t="s">
        <v>111</v>
      </c>
      <c r="D45" s="177"/>
    </row>
    <row r="46" spans="1:7">
      <c r="A46" s="174" t="s">
        <v>73</v>
      </c>
      <c r="B46" s="34">
        <f t="shared" si="0"/>
        <v>513.38233164373639</v>
      </c>
      <c r="C46" s="35" t="s">
        <v>111</v>
      </c>
      <c r="D46" s="177"/>
    </row>
    <row r="47" spans="1:7">
      <c r="A47" s="174" t="s">
        <v>74</v>
      </c>
      <c r="B47" s="34">
        <f t="shared" si="0"/>
        <v>1611.6068066618393</v>
      </c>
      <c r="C47" s="35" t="s">
        <v>111</v>
      </c>
      <c r="D47" s="177"/>
    </row>
    <row r="48" spans="1:7">
      <c r="A48" s="174" t="s">
        <v>75</v>
      </c>
      <c r="B48" s="34">
        <f t="shared" si="0"/>
        <v>472.01086169442436</v>
      </c>
      <c r="C48" s="34">
        <f>B48*10</f>
        <v>4720.1086169442433</v>
      </c>
      <c r="D48" s="237"/>
    </row>
    <row r="49" spans="1:6">
      <c r="A49" s="174" t="s">
        <v>76</v>
      </c>
      <c r="B49" s="34" t="str">
        <f t="shared" si="0"/>
        <v>-</v>
      </c>
      <c r="C49" s="35" t="s">
        <v>111</v>
      </c>
      <c r="D49" s="237"/>
    </row>
    <row r="50" spans="1:6">
      <c r="A50" s="174" t="s">
        <v>77</v>
      </c>
      <c r="B50" s="34">
        <f t="shared" si="0"/>
        <v>146.69999999999999</v>
      </c>
      <c r="C50" s="34">
        <f>B50*2</f>
        <v>293.39999999999998</v>
      </c>
      <c r="D50" s="237"/>
    </row>
    <row r="51" spans="1:6">
      <c r="A51" s="174" t="s">
        <v>78</v>
      </c>
      <c r="B51" s="34">
        <f t="shared" si="0"/>
        <v>1091.3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84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23260.76246497847</v>
      </c>
      <c r="C5" s="18">
        <f>IF(ISERROR('Eigen informatie GS &amp; warmtenet'!B58),0,'Eigen informatie GS &amp; warmtenet'!B58)</f>
        <v>0</v>
      </c>
      <c r="D5" s="31">
        <f>SUM(D6:D12)</f>
        <v>30055.19867167819</v>
      </c>
      <c r="E5" s="18">
        <f>SUM(E6:E12)</f>
        <v>285.85562925731182</v>
      </c>
      <c r="F5" s="18">
        <f>SUM(F6:F12)</f>
        <v>4847.9401660319018</v>
      </c>
      <c r="G5" s="19"/>
      <c r="H5" s="18"/>
      <c r="I5" s="18"/>
      <c r="J5" s="18">
        <f>SUM(J6:J12)</f>
        <v>0</v>
      </c>
      <c r="K5" s="18"/>
      <c r="L5" s="18"/>
      <c r="M5" s="18"/>
      <c r="N5" s="18">
        <f>SUM(N6:N12)</f>
        <v>1946.6390424652827</v>
      </c>
      <c r="O5" s="18">
        <f>B38*B39*B40</f>
        <v>0</v>
      </c>
      <c r="P5" s="18">
        <f>B46*B47*B48/1000-B46*B47*B48/1000/B49</f>
        <v>0</v>
      </c>
      <c r="R5" s="33"/>
    </row>
    <row r="6" spans="1:18">
      <c r="A6" s="33" t="s">
        <v>54</v>
      </c>
      <c r="B6" s="38">
        <f>B26</f>
        <v>4588.6343378275105</v>
      </c>
      <c r="C6" s="34"/>
      <c r="D6" s="38">
        <f>IF(ISERROR(TER_kantoor_gas_kWh/1000),0,TER_kantoor_gas_kWh/1000)*0.902</f>
        <v>7669.3467372297209</v>
      </c>
      <c r="E6" s="34">
        <f>$C$26*'E Balans VL '!I12/100/3.6*1000000</f>
        <v>7.5308789537350203</v>
      </c>
      <c r="F6" s="34">
        <f>$C$26*('E Balans VL '!L12+'E Balans VL '!N12)/100/3.6*1000000</f>
        <v>540.89202372686839</v>
      </c>
      <c r="G6" s="35"/>
      <c r="H6" s="34"/>
      <c r="I6" s="34"/>
      <c r="J6" s="34">
        <f>$C$26*('E Balans VL '!D12+'E Balans VL '!E12)/100/3.6*1000000</f>
        <v>0</v>
      </c>
      <c r="K6" s="34"/>
      <c r="L6" s="34"/>
      <c r="M6" s="34"/>
      <c r="N6" s="34">
        <f>$C$26*'E Balans VL '!Y12/100/3.6*1000000</f>
        <v>0.92711183899556526</v>
      </c>
      <c r="O6" s="34"/>
      <c r="P6" s="34"/>
      <c r="R6" s="33"/>
    </row>
    <row r="7" spans="1:18">
      <c r="A7" s="33" t="s">
        <v>53</v>
      </c>
      <c r="B7" s="38">
        <f t="shared" ref="B7:B12" si="0">B27</f>
        <v>3523.8678070975398</v>
      </c>
      <c r="C7" s="34"/>
      <c r="D7" s="38">
        <f>IF(ISERROR(TER_horeca_gas_kWh/1000),0,TER_horeca_gas_kWh/1000)*0.902</f>
        <v>2756.1236937457379</v>
      </c>
      <c r="E7" s="34">
        <f>$C$27*'E Balans VL '!I9/100/3.6*1000000</f>
        <v>182.8632399352465</v>
      </c>
      <c r="F7" s="34">
        <f>$C$27*('E Balans VL '!L9+'E Balans VL '!N9)/100/3.6*1000000</f>
        <v>804.1491905108121</v>
      </c>
      <c r="G7" s="35"/>
      <c r="H7" s="34"/>
      <c r="I7" s="34"/>
      <c r="J7" s="34">
        <f>$C$27*('E Balans VL '!D9+'E Balans VL '!E9)/100/3.6*1000000</f>
        <v>0</v>
      </c>
      <c r="K7" s="34"/>
      <c r="L7" s="34"/>
      <c r="M7" s="34"/>
      <c r="N7" s="34">
        <f>$C$27*'E Balans VL '!Y9/100/3.6*1000000</f>
        <v>0.37211882554662451</v>
      </c>
      <c r="O7" s="34"/>
      <c r="P7" s="34"/>
      <c r="R7" s="33"/>
    </row>
    <row r="8" spans="1:18">
      <c r="A8" s="6" t="s">
        <v>52</v>
      </c>
      <c r="B8" s="38">
        <f t="shared" si="0"/>
        <v>7797.13578768959</v>
      </c>
      <c r="C8" s="34"/>
      <c r="D8" s="38">
        <f>IF(ISERROR(TER_handel_gas_kWh/1000),0,TER_handel_gas_kWh/1000)*0.902</f>
        <v>6954.2239020233637</v>
      </c>
      <c r="E8" s="34">
        <f>$C$28*'E Balans VL '!I13/100/3.6*1000000</f>
        <v>41.988534357349565</v>
      </c>
      <c r="F8" s="34">
        <f>$C$28*('E Balans VL '!L13+'E Balans VL '!N13)/100/3.6*1000000</f>
        <v>1590.0676971161474</v>
      </c>
      <c r="G8" s="35"/>
      <c r="H8" s="34"/>
      <c r="I8" s="34"/>
      <c r="J8" s="34">
        <f>$C$28*('E Balans VL '!D13+'E Balans VL '!E13)/100/3.6*1000000</f>
        <v>0</v>
      </c>
      <c r="K8" s="34"/>
      <c r="L8" s="34"/>
      <c r="M8" s="34"/>
      <c r="N8" s="34">
        <f>$C$28*'E Balans VL '!Y13/100/3.6*1000000</f>
        <v>38.771038722741039</v>
      </c>
      <c r="O8" s="34"/>
      <c r="P8" s="34"/>
      <c r="R8" s="33"/>
    </row>
    <row r="9" spans="1:18">
      <c r="A9" s="33" t="s">
        <v>51</v>
      </c>
      <c r="B9" s="38">
        <f t="shared" si="0"/>
        <v>847.10380167449796</v>
      </c>
      <c r="C9" s="34"/>
      <c r="D9" s="38">
        <f>IF(ISERROR(TER_gezond_gas_kWh/1000),0,TER_gezond_gas_kWh/1000)*0.902</f>
        <v>1508.6450548747887</v>
      </c>
      <c r="E9" s="34">
        <f>$C$29*'E Balans VL '!I10/100/3.6*1000000</f>
        <v>0.83948950068399197</v>
      </c>
      <c r="F9" s="34">
        <f>$C$29*('E Balans VL '!L10+'E Balans VL '!N10)/100/3.6*1000000</f>
        <v>293.92060235070352</v>
      </c>
      <c r="G9" s="35"/>
      <c r="H9" s="34"/>
      <c r="I9" s="34"/>
      <c r="J9" s="34">
        <f>$C$29*('E Balans VL '!D10+'E Balans VL '!E10)/100/3.6*1000000</f>
        <v>0</v>
      </c>
      <c r="K9" s="34"/>
      <c r="L9" s="34"/>
      <c r="M9" s="34"/>
      <c r="N9" s="34">
        <f>$C$29*'E Balans VL '!Y10/100/3.6*1000000</f>
        <v>7.2994200747786371</v>
      </c>
      <c r="O9" s="34"/>
      <c r="P9" s="34"/>
      <c r="R9" s="33"/>
    </row>
    <row r="10" spans="1:18">
      <c r="A10" s="33" t="s">
        <v>50</v>
      </c>
      <c r="B10" s="38">
        <f t="shared" si="0"/>
        <v>2912.9967859793701</v>
      </c>
      <c r="C10" s="34"/>
      <c r="D10" s="38">
        <f>IF(ISERROR(TER_ander_gas_kWh/1000),0,TER_ander_gas_kWh/1000)*0.902</f>
        <v>2479.1998790134453</v>
      </c>
      <c r="E10" s="34">
        <f>$C$30*'E Balans VL '!I14/100/3.6*1000000</f>
        <v>23.831225042259994</v>
      </c>
      <c r="F10" s="34">
        <f>$C$30*('E Balans VL '!L14+'E Balans VL '!N14)/100/3.6*1000000</f>
        <v>851.64166720950311</v>
      </c>
      <c r="G10" s="35"/>
      <c r="H10" s="34"/>
      <c r="I10" s="34"/>
      <c r="J10" s="34">
        <f>$C$30*('E Balans VL '!D14+'E Balans VL '!E14)/100/3.6*1000000</f>
        <v>0</v>
      </c>
      <c r="K10" s="34"/>
      <c r="L10" s="34"/>
      <c r="M10" s="34"/>
      <c r="N10" s="34">
        <f>$C$30*'E Balans VL '!Y14/100/3.6*1000000</f>
        <v>1680.4169280365284</v>
      </c>
      <c r="O10" s="34"/>
      <c r="P10" s="34"/>
      <c r="R10" s="33"/>
    </row>
    <row r="11" spans="1:18">
      <c r="A11" s="33" t="s">
        <v>55</v>
      </c>
      <c r="B11" s="38">
        <f t="shared" si="0"/>
        <v>277.34466509891502</v>
      </c>
      <c r="C11" s="34"/>
      <c r="D11" s="38">
        <f>IF(ISERROR(TER_onderwijs_gas_kWh/1000),0,TER_onderwijs_gas_kWh/1000)*0.902</f>
        <v>456.33248984317135</v>
      </c>
      <c r="E11" s="34">
        <f>$C$31*'E Balans VL '!I11/100/3.6*1000000</f>
        <v>0.17094354923372179</v>
      </c>
      <c r="F11" s="34">
        <f>$C$31*('E Balans VL '!L11+'E Balans VL '!N11)/100/3.6*1000000</f>
        <v>107.22593903237804</v>
      </c>
      <c r="G11" s="35"/>
      <c r="H11" s="34"/>
      <c r="I11" s="34"/>
      <c r="J11" s="34">
        <f>$C$31*('E Balans VL '!D11+'E Balans VL '!E11)/100/3.6*1000000</f>
        <v>0</v>
      </c>
      <c r="K11" s="34"/>
      <c r="L11" s="34"/>
      <c r="M11" s="34"/>
      <c r="N11" s="34">
        <f>$C$31*'E Balans VL '!Y11/100/3.6*1000000</f>
        <v>0.90214276187403497</v>
      </c>
      <c r="O11" s="34"/>
      <c r="P11" s="34"/>
      <c r="R11" s="33"/>
    </row>
    <row r="12" spans="1:18">
      <c r="A12" s="33" t="s">
        <v>260</v>
      </c>
      <c r="B12" s="38">
        <f t="shared" si="0"/>
        <v>3313.6792796110503</v>
      </c>
      <c r="C12" s="34"/>
      <c r="D12" s="38">
        <f>IF(ISERROR(TER_rest_gas_kWh/1000),0,TER_rest_gas_kWh/1000)*0.902</f>
        <v>8231.326914947962</v>
      </c>
      <c r="E12" s="34">
        <f>$C$32*'E Balans VL '!I8/100/3.6*1000000</f>
        <v>28.631317918803063</v>
      </c>
      <c r="F12" s="34">
        <f>$C$32*('E Balans VL '!L8+'E Balans VL '!N8)/100/3.6*1000000</f>
        <v>660.04304608548944</v>
      </c>
      <c r="G12" s="35"/>
      <c r="H12" s="34"/>
      <c r="I12" s="34"/>
      <c r="J12" s="34">
        <f>$C$32*('E Balans VL '!D8+'E Balans VL '!E8)/100/3.6*1000000</f>
        <v>0</v>
      </c>
      <c r="K12" s="34"/>
      <c r="L12" s="34"/>
      <c r="M12" s="34"/>
      <c r="N12" s="34">
        <f>$C$32*'E Balans VL '!Y8/100/3.6*1000000</f>
        <v>217.95028220481856</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23260.76246497847</v>
      </c>
      <c r="C16" s="22">
        <f t="shared" ca="1" si="1"/>
        <v>0</v>
      </c>
      <c r="D16" s="22">
        <f t="shared" ca="1" si="1"/>
        <v>30055.19867167819</v>
      </c>
      <c r="E16" s="22">
        <f t="shared" si="1"/>
        <v>285.85562925731182</v>
      </c>
      <c r="F16" s="22">
        <f t="shared" ca="1" si="1"/>
        <v>4847.9401660319018</v>
      </c>
      <c r="G16" s="22">
        <f t="shared" si="1"/>
        <v>0</v>
      </c>
      <c r="H16" s="22">
        <f t="shared" si="1"/>
        <v>0</v>
      </c>
      <c r="I16" s="22">
        <f t="shared" si="1"/>
        <v>0</v>
      </c>
      <c r="J16" s="22">
        <f t="shared" si="1"/>
        <v>0</v>
      </c>
      <c r="K16" s="22">
        <f t="shared" si="1"/>
        <v>0</v>
      </c>
      <c r="L16" s="22">
        <f t="shared" ca="1" si="1"/>
        <v>0</v>
      </c>
      <c r="M16" s="22">
        <f t="shared" si="1"/>
        <v>0</v>
      </c>
      <c r="N16" s="22">
        <f t="shared" ca="1" si="1"/>
        <v>1946.6390424652827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0.15627235510704685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3635.0141319877816</v>
      </c>
      <c r="C20" s="24">
        <f t="shared" ref="C20:P20" ca="1" si="2">C16*C18</f>
        <v>0</v>
      </c>
      <c r="D20" s="24">
        <f t="shared" ca="1" si="2"/>
        <v>6071.1501316789945</v>
      </c>
      <c r="E20" s="24">
        <f t="shared" si="2"/>
        <v>64.889227841409792</v>
      </c>
      <c r="F20" s="24">
        <f t="shared" ca="1" si="2"/>
        <v>1294.4000243305179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4588.6343378275105</v>
      </c>
      <c r="C26" s="40">
        <f>IF(ISERROR(B26*3.6/1000000/'E Balans VL '!Z12*100),0,B26*3.6/1000000/'E Balans VL '!Z12*100)</f>
        <v>9.7505189026702757E-2</v>
      </c>
      <c r="D26" s="240" t="s">
        <v>707</v>
      </c>
      <c r="F26" s="6"/>
    </row>
    <row r="27" spans="1:18">
      <c r="A27" s="234" t="s">
        <v>53</v>
      </c>
      <c r="B27" s="34">
        <f>IF(ISERROR(TER_horeca_ele_kWh/1000),0,TER_horeca_ele_kWh/1000)</f>
        <v>3523.8678070975398</v>
      </c>
      <c r="C27" s="40">
        <f>IF(ISERROR(B27*3.6/1000000/'E Balans VL '!Z9*100),0,B27*3.6/1000000/'E Balans VL '!Z9*100)</f>
        <v>0.27735564637015492</v>
      </c>
      <c r="D27" s="240" t="s">
        <v>707</v>
      </c>
      <c r="F27" s="6"/>
    </row>
    <row r="28" spans="1:18">
      <c r="A28" s="174" t="s">
        <v>52</v>
      </c>
      <c r="B28" s="34">
        <f>IF(ISERROR(TER_handel_ele_kWh/1000),0,TER_handel_ele_kWh/1000)</f>
        <v>7797.13578768959</v>
      </c>
      <c r="C28" s="40">
        <f>IF(ISERROR(B28*3.6/1000000/'E Balans VL '!Z13*100),0,B28*3.6/1000000/'E Balans VL '!Z13*100)</f>
        <v>0.2184019462755156</v>
      </c>
      <c r="D28" s="240" t="s">
        <v>707</v>
      </c>
      <c r="F28" s="6"/>
    </row>
    <row r="29" spans="1:18">
      <c r="A29" s="234" t="s">
        <v>51</v>
      </c>
      <c r="B29" s="34">
        <f>IF(ISERROR(TER_gezond_ele_kWh/1000),0,TER_gezond_ele_kWh/1000)</f>
        <v>847.10380167449796</v>
      </c>
      <c r="C29" s="40">
        <f>IF(ISERROR(B29*3.6/1000000/'E Balans VL '!Z10*100),0,B29*3.6/1000000/'E Balans VL '!Z10*100)</f>
        <v>0.1083701916214868</v>
      </c>
      <c r="D29" s="240" t="s">
        <v>707</v>
      </c>
      <c r="F29" s="6"/>
    </row>
    <row r="30" spans="1:18">
      <c r="A30" s="234" t="s">
        <v>50</v>
      </c>
      <c r="B30" s="34">
        <f>IF(ISERROR(TER_ander_ele_kWh/1000),0,TER_ander_ele_kWh/1000)</f>
        <v>2912.9967859793701</v>
      </c>
      <c r="C30" s="40">
        <f>IF(ISERROR(B30*3.6/1000000/'E Balans VL '!Z14*100),0,B30*3.6/1000000/'E Balans VL '!Z14*100)</f>
        <v>0.21786761425155809</v>
      </c>
      <c r="D30" s="240" t="s">
        <v>707</v>
      </c>
      <c r="F30" s="6"/>
    </row>
    <row r="31" spans="1:18">
      <c r="A31" s="234" t="s">
        <v>55</v>
      </c>
      <c r="B31" s="34">
        <f>IF(ISERROR(TER_onderwijs_ele_kWh/1000),0,TER_onderwijs_ele_kWh/1000)</f>
        <v>277.34466509891502</v>
      </c>
      <c r="C31" s="40">
        <f>IF(ISERROR(B31*3.6/1000000/'E Balans VL '!Z11*100),0,B31*3.6/1000000/'E Balans VL '!Z11*100)</f>
        <v>5.8561685288804607E-2</v>
      </c>
      <c r="D31" s="240" t="s">
        <v>707</v>
      </c>
    </row>
    <row r="32" spans="1:18">
      <c r="A32" s="234" t="s">
        <v>260</v>
      </c>
      <c r="B32" s="34">
        <f>IF(ISERROR(TER_rest_ele_kWh/1000),0,TER_rest_ele_kWh/1000)</f>
        <v>3313.6792796110503</v>
      </c>
      <c r="C32" s="40">
        <f>IF(ISERROR(B32*3.6/1000000/'E Balans VL '!Z8*100),0,B32*3.6/1000000/'E Balans VL '!Z8*100)</f>
        <v>2.7297864792090881E-2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34072.798726403264</v>
      </c>
      <c r="C5" s="18">
        <f>IF(ISERROR('Eigen informatie GS &amp; warmtenet'!B59),0,'Eigen informatie GS &amp; warmtenet'!B59)</f>
        <v>0</v>
      </c>
      <c r="D5" s="31">
        <f>SUM(D6:D15)</f>
        <v>15116.424346929824</v>
      </c>
      <c r="E5" s="18">
        <f>SUM(E6:E15)</f>
        <v>330.13338686288444</v>
      </c>
      <c r="F5" s="18">
        <f>SUM(F6:F15)</f>
        <v>8733.1319634045394</v>
      </c>
      <c r="G5" s="19"/>
      <c r="H5" s="18"/>
      <c r="I5" s="18"/>
      <c r="J5" s="18">
        <f>SUM(J6:J15)</f>
        <v>121.60720988104667</v>
      </c>
      <c r="K5" s="18"/>
      <c r="L5" s="18"/>
      <c r="M5" s="18"/>
      <c r="N5" s="18">
        <f>SUM(N6:N15)</f>
        <v>1543.2833394782292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1326.9728118328001</v>
      </c>
      <c r="C8" s="34"/>
      <c r="D8" s="38">
        <f>IF( ISERROR(IND_metaal_Gas_kWH/1000),0,IND_metaal_Gas_kWH/1000)*0.902</f>
        <v>112.18258148226192</v>
      </c>
      <c r="E8" s="34">
        <f>C30*'E Balans VL '!I18/100/3.6*1000000</f>
        <v>12.084502260466621</v>
      </c>
      <c r="F8" s="34">
        <f>C30*'E Balans VL '!L18/100/3.6*1000000+C30*'E Balans VL '!N18/100/3.6*1000000</f>
        <v>175.01763667613184</v>
      </c>
      <c r="G8" s="35"/>
      <c r="H8" s="34"/>
      <c r="I8" s="34"/>
      <c r="J8" s="41">
        <f>C30*'E Balans VL '!D18/100/3.6*1000000+C30*'E Balans VL '!E18/100/3.6*1000000</f>
        <v>21.760427418913356</v>
      </c>
      <c r="K8" s="34"/>
      <c r="L8" s="34"/>
      <c r="M8" s="34"/>
      <c r="N8" s="34">
        <f>C30*'E Balans VL '!Y18/100/3.6*1000000</f>
        <v>4.5602784156720446</v>
      </c>
      <c r="O8" s="34"/>
      <c r="P8" s="34"/>
      <c r="R8" s="33"/>
    </row>
    <row r="9" spans="1:18">
      <c r="A9" s="6" t="s">
        <v>33</v>
      </c>
      <c r="B9" s="38">
        <f t="shared" si="0"/>
        <v>4608.0716130130304</v>
      </c>
      <c r="C9" s="34"/>
      <c r="D9" s="38">
        <f>IF( ISERROR(IND_andere_gas_kWh/1000),0,IND_andere_gas_kWh/1000)*0.902</f>
        <v>4443.4469674097199</v>
      </c>
      <c r="E9" s="34">
        <f>C31*'E Balans VL '!I19/100/3.6*1000000</f>
        <v>26.635342542560124</v>
      </c>
      <c r="F9" s="34">
        <f>C31*'E Balans VL '!L19/100/3.6*1000000+C31*'E Balans VL '!N19/100/3.6*1000000</f>
        <v>3665.9426997836413</v>
      </c>
      <c r="G9" s="35"/>
      <c r="H9" s="34"/>
      <c r="I9" s="34"/>
      <c r="J9" s="41">
        <f>C31*'E Balans VL '!D19/100/3.6*1000000+C31*'E Balans VL '!E19/100/3.6*1000000</f>
        <v>0.43587238958130925</v>
      </c>
      <c r="K9" s="34"/>
      <c r="L9" s="34"/>
      <c r="M9" s="34"/>
      <c r="N9" s="34">
        <f>C31*'E Balans VL '!Y19/100/3.6*1000000</f>
        <v>349.13116004928906</v>
      </c>
      <c r="O9" s="34"/>
      <c r="P9" s="34"/>
      <c r="R9" s="33"/>
    </row>
    <row r="10" spans="1:18">
      <c r="A10" s="6" t="s">
        <v>41</v>
      </c>
      <c r="B10" s="38">
        <f t="shared" si="0"/>
        <v>7075.44452997589</v>
      </c>
      <c r="C10" s="34"/>
      <c r="D10" s="38">
        <f>IF( ISERROR(IND_voed_gas_kWh/1000),0,IND_voed_gas_kWh/1000)*0.902</f>
        <v>7021.1122801685933</v>
      </c>
      <c r="E10" s="34">
        <f>C32*'E Balans VL '!I20/100/3.6*1000000</f>
        <v>69.570130163172266</v>
      </c>
      <c r="F10" s="34">
        <f>C32*'E Balans VL '!L20/100/3.6*1000000+C32*'E Balans VL '!N20/100/3.6*1000000</f>
        <v>785.82046831518471</v>
      </c>
      <c r="G10" s="35"/>
      <c r="H10" s="34"/>
      <c r="I10" s="34"/>
      <c r="J10" s="41">
        <f>C32*'E Balans VL '!D20/100/3.6*1000000+C32*'E Balans VL '!E20/100/3.6*1000000</f>
        <v>2.7887538951174632E-2</v>
      </c>
      <c r="K10" s="34"/>
      <c r="L10" s="34"/>
      <c r="M10" s="34"/>
      <c r="N10" s="34">
        <f>C32*'E Balans VL '!Y20/100/3.6*1000000</f>
        <v>104.77069028908657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1299.4225114661399</v>
      </c>
      <c r="C13" s="34"/>
      <c r="D13" s="38">
        <f>IF( ISERROR(IND_papier_gas_kWh/1000),0,IND_papier_gas_kWh/1000)*0.902</f>
        <v>481.01595297739544</v>
      </c>
      <c r="E13" s="34">
        <f>C35*'E Balans VL '!I23/100/3.6*1000000</f>
        <v>44.260214781370394</v>
      </c>
      <c r="F13" s="34">
        <f>C35*'E Balans VL '!L23/100/3.6*1000000+C35*'E Balans VL '!N23/100/3.6*1000000</f>
        <v>214.63410210432298</v>
      </c>
      <c r="G13" s="35"/>
      <c r="H13" s="34"/>
      <c r="I13" s="34"/>
      <c r="J13" s="41">
        <f>C35*'E Balans VL '!D23/100/3.6*1000000+C35*'E Balans VL '!E23/100/3.6*1000000</f>
        <v>0</v>
      </c>
      <c r="K13" s="34"/>
      <c r="L13" s="34"/>
      <c r="M13" s="34"/>
      <c r="N13" s="34">
        <f>C35*'E Balans VL '!Y23/100/3.6*1000000</f>
        <v>478.15263640918613</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19762.8872601154</v>
      </c>
      <c r="C15" s="34"/>
      <c r="D15" s="38">
        <f>IF( ISERROR(IND_rest_gas_kWh/1000),0,IND_rest_gas_kWh/1000)*0.902</f>
        <v>3058.6665648918524</v>
      </c>
      <c r="E15" s="34">
        <f>C37*'E Balans VL '!I15/100/3.6*1000000</f>
        <v>177.58319711531502</v>
      </c>
      <c r="F15" s="34">
        <f>C37*'E Balans VL '!L15/100/3.6*1000000+C37*'E Balans VL '!N15/100/3.6*1000000</f>
        <v>3891.7170565252591</v>
      </c>
      <c r="G15" s="35"/>
      <c r="H15" s="34"/>
      <c r="I15" s="34"/>
      <c r="J15" s="41">
        <f>C37*'E Balans VL '!D15/100/3.6*1000000+C37*'E Balans VL '!E15/100/3.6*1000000</f>
        <v>99.383022533600837</v>
      </c>
      <c r="K15" s="34"/>
      <c r="L15" s="34"/>
      <c r="M15" s="34"/>
      <c r="N15" s="34">
        <f>C37*'E Balans VL '!Y15/100/3.6*1000000</f>
        <v>606.66857431499534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34072.798726403264</v>
      </c>
      <c r="C18" s="22">
        <f>C5+C16</f>
        <v>0</v>
      </c>
      <c r="D18" s="22">
        <f>MAX((D5+D16),0)</f>
        <v>15116.424346929824</v>
      </c>
      <c r="E18" s="22">
        <f>MAX((E5+E16),0)</f>
        <v>330.13338686288444</v>
      </c>
      <c r="F18" s="22">
        <f>MAX((F5+F16),0)</f>
        <v>8733.1319634045394</v>
      </c>
      <c r="G18" s="22"/>
      <c r="H18" s="22"/>
      <c r="I18" s="22"/>
      <c r="J18" s="22">
        <f>MAX((J5+J16),0)</f>
        <v>121.60720988104667</v>
      </c>
      <c r="K18" s="22"/>
      <c r="L18" s="22">
        <f>MAX((L5+L16),0)</f>
        <v>0</v>
      </c>
      <c r="M18" s="22"/>
      <c r="N18" s="22">
        <f>MAX((N5+N16),0)</f>
        <v>1543.2833394782292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0.15627235510704685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5324.6365020634239</v>
      </c>
      <c r="C22" s="24">
        <f ca="1">C18*C20</f>
        <v>0</v>
      </c>
      <c r="D22" s="24">
        <f>D18*D20</f>
        <v>3053.5177180798246</v>
      </c>
      <c r="E22" s="24">
        <f>E18*E20</f>
        <v>74.94027881787477</v>
      </c>
      <c r="F22" s="24">
        <f>F18*F20</f>
        <v>2331.7462342290123</v>
      </c>
      <c r="G22" s="24"/>
      <c r="H22" s="24"/>
      <c r="I22" s="24"/>
      <c r="J22" s="24">
        <f>J18*J20</f>
        <v>43.048952297890523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1326.9728118328001</v>
      </c>
      <c r="C30" s="40">
        <f>IF(ISERROR(B30*3.6/1000000/'E Balans VL '!Z18*100),0,B30*3.6/1000000/'E Balans VL '!Z18*100)</f>
        <v>7.3837163587433974E-2</v>
      </c>
      <c r="D30" s="240" t="s">
        <v>707</v>
      </c>
    </row>
    <row r="31" spans="1:18">
      <c r="A31" s="6" t="s">
        <v>33</v>
      </c>
      <c r="B31" s="38">
        <f>IF( ISERROR(IND_ander_ele_kWh/1000),0,IND_ander_ele_kWh/1000)</f>
        <v>4608.0716130130304</v>
      </c>
      <c r="C31" s="40">
        <f>IF(ISERROR(B31*3.6/1000000/'E Balans VL '!Z19*100),0,B31*3.6/1000000/'E Balans VL '!Z19*100)</f>
        <v>0.21421714709798134</v>
      </c>
      <c r="D31" s="240" t="s">
        <v>707</v>
      </c>
    </row>
    <row r="32" spans="1:18">
      <c r="A32" s="174" t="s">
        <v>41</v>
      </c>
      <c r="B32" s="38">
        <f>IF( ISERROR(IND_voed_ele_kWh/1000),0,IND_voed_ele_kWh/1000)</f>
        <v>7075.44452997589</v>
      </c>
      <c r="C32" s="40">
        <f>IF(ISERROR(B32*3.6/1000000/'E Balans VL '!Z20*100),0,B32*3.6/1000000/'E Balans VL '!Z20*100)</f>
        <v>0.25010267466925434</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1299.4225114661399</v>
      </c>
      <c r="C35" s="40">
        <f>IF(ISERROR(B35*3.6/1000000/'E Balans VL '!Z22*100),0,B35*3.6/1000000/'E Balans VL '!Z22*100)</f>
        <v>0.26114728232780393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19762.8872601154</v>
      </c>
      <c r="C37" s="40">
        <f>IF(ISERROR(B37*3.6/1000000/'E Balans VL '!Z15*100),0,B37*3.6/1000000/'E Balans VL '!Z15*100)</f>
        <v>0.14923899301295435</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5450.8905540564274</v>
      </c>
      <c r="C5" s="18">
        <f>'Eigen informatie GS &amp; warmtenet'!B60</f>
        <v>0</v>
      </c>
      <c r="D5" s="31">
        <f>IF(ISERROR(SUM(LB_lb_gas_kWh,LB_rest_gas_kWh)/1000),0,SUM(LB_lb_gas_kWh,LB_rest_gas_kWh)/1000)*0.902</f>
        <v>220.37040067026629</v>
      </c>
      <c r="E5" s="18">
        <f>B17*'E Balans VL '!I25/3.6*1000000/100</f>
        <v>51.351041235686772</v>
      </c>
      <c r="F5" s="18">
        <f>B17*('E Balans VL '!L25/3.6*1000000+'E Balans VL '!N25/3.6*1000000)/100</f>
        <v>17788.06486958946</v>
      </c>
      <c r="G5" s="19"/>
      <c r="H5" s="18"/>
      <c r="I5" s="18"/>
      <c r="J5" s="18">
        <f>('E Balans VL '!D25+'E Balans VL '!E25)/3.6*1000000*landbouw!B17/100</f>
        <v>674.30167466334194</v>
      </c>
      <c r="K5" s="18"/>
      <c r="L5" s="18">
        <f>L6*(-1)</f>
        <v>0</v>
      </c>
      <c r="M5" s="18"/>
      <c r="N5" s="18">
        <f>N6*(-1)</f>
        <v>124.71428571428569</v>
      </c>
      <c r="O5" s="18"/>
      <c r="P5" s="18"/>
      <c r="R5" s="33"/>
    </row>
    <row r="6" spans="1:18">
      <c r="A6" s="17" t="s">
        <v>502</v>
      </c>
      <c r="B6" s="18" t="s">
        <v>211</v>
      </c>
      <c r="C6" s="18">
        <f>'lokale energieproductie'!O92+'lokale energieproductie'!O61</f>
        <v>62.357142857142847</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-124.71428571428569</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5450.8905540564274</v>
      </c>
      <c r="C8" s="22">
        <f>C5+C6</f>
        <v>62.357142857142847</v>
      </c>
      <c r="D8" s="22">
        <f>MAX((D5+D6),0)</f>
        <v>220.37040067026629</v>
      </c>
      <c r="E8" s="22">
        <f>MAX((E5+E6),0)</f>
        <v>51.351041235686772</v>
      </c>
      <c r="F8" s="22">
        <f>MAX((F5+F6),0)</f>
        <v>17788.06486958946</v>
      </c>
      <c r="G8" s="22"/>
      <c r="H8" s="22"/>
      <c r="I8" s="22"/>
      <c r="J8" s="22">
        <f>MAX((J5+J6),0)</f>
        <v>674.30167466334194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0.15627235510704685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851.82350431315331</v>
      </c>
      <c r="C12" s="24">
        <f ca="1">C8*C10</f>
        <v>0</v>
      </c>
      <c r="D12" s="24">
        <f>D8*D10</f>
        <v>44.514820935393793</v>
      </c>
      <c r="E12" s="24">
        <f>E8*E10</f>
        <v>11.656686360500897</v>
      </c>
      <c r="F12" s="24">
        <f>F8*F10</f>
        <v>4749.4133201803861</v>
      </c>
      <c r="G12" s="24"/>
      <c r="H12" s="24"/>
      <c r="I12" s="24"/>
      <c r="J12" s="24">
        <f>J8*J10</f>
        <v>238.70279283082303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0.73796347857258759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1305.0175409230521</v>
      </c>
      <c r="C26" s="250">
        <f>B26*'GWP N2O_CH4'!B5</f>
        <v>27405.368359384094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426.00160066477429</v>
      </c>
      <c r="C27" s="250">
        <f>B27*'GWP N2O_CH4'!B5</f>
        <v>8946.0336139602605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17.614056555045725</v>
      </c>
      <c r="C28" s="250">
        <f>B28*'GWP N2O_CH4'!B4</f>
        <v>5460.3575320641748</v>
      </c>
      <c r="D28" s="51"/>
    </row>
    <row r="29" spans="1:4">
      <c r="A29" s="42" t="s">
        <v>277</v>
      </c>
      <c r="B29" s="250">
        <f>B34*'ha_N2O bodem landbouw'!B4</f>
        <v>35.811263997934056</v>
      </c>
      <c r="C29" s="250">
        <f>B29*'GWP N2O_CH4'!B4</f>
        <v>11101.491839359558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9.6679139312957213E-3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1.8170774264641991E-5</v>
      </c>
      <c r="C5" s="447" t="s">
        <v>211</v>
      </c>
      <c r="D5" s="432">
        <f>SUM(D6:D11)</f>
        <v>5.1240853545565177E-5</v>
      </c>
      <c r="E5" s="432">
        <f>SUM(E6:E11)</f>
        <v>2.9934756655714562E-3</v>
      </c>
      <c r="F5" s="445" t="s">
        <v>211</v>
      </c>
      <c r="G5" s="432">
        <f>SUM(G6:G11)</f>
        <v>0.65564472303898791</v>
      </c>
      <c r="H5" s="432">
        <f>SUM(H6:H11)</f>
        <v>0.11396632873420399</v>
      </c>
      <c r="I5" s="447" t="s">
        <v>211</v>
      </c>
      <c r="J5" s="447" t="s">
        <v>211</v>
      </c>
      <c r="K5" s="447" t="s">
        <v>211</v>
      </c>
      <c r="L5" s="447" t="s">
        <v>211</v>
      </c>
      <c r="M5" s="432">
        <f>SUM(M6:M11)</f>
        <v>3.4409272496653938E-2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1.3833199346743054E-5</v>
      </c>
      <c r="C6" s="433"/>
      <c r="D6" s="433">
        <f>vkm_2011_GW_PW*SUMIFS(TableVerdeelsleutelVkm[CNG],TableVerdeelsleutelVkm[Voertuigtype],"Lichte voertuigen")*SUMIFS(TableECFTransport[EnergieConsumptieFactor (PJ per km)],TableECFTransport[Index],CONCATENATE($A6,"_CNG_CNG"))</f>
        <v>3.3780904470808517E-5</v>
      </c>
      <c r="E6" s="435">
        <f>vkm_2011_GW_PW*SUMIFS(TableVerdeelsleutelVkm[LPG],TableVerdeelsleutelVkm[Voertuigtype],"Lichte voertuigen")*SUMIFS(TableECFTransport[EnergieConsumptieFactor (PJ per km)],TableECFTransport[Index],CONCATENATE($A6,"_LPG_LPG"))</f>
        <v>2.0023574420100221E-3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0.28946432292703722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7.5860282883226868E-2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1.635990863470993E-2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0.18621317912570431</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7.5129757935587358E-5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8.2957395160959176E-3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3.5044506051527505E-6</v>
      </c>
      <c r="C8" s="433"/>
      <c r="D8" s="435">
        <f>vkm_2011_NGW_PW*SUMIFS(TableVerdeelsleutelVkm[CNG],TableVerdeelsleutelVkm[Voertuigtype],"Lichte voertuigen")*SUMIFS(TableECFTransport[EnergieConsumptieFactor (PJ per km)],TableECFTransport[Index],CONCATENATE($A8,"_CNG_CNG"))</f>
        <v>1.5354375159716297E-5</v>
      </c>
      <c r="E8" s="435">
        <f>vkm_2011_NGW_PW*SUMIFS(TableVerdeelsleutelVkm[LPG],TableVerdeelsleutelVkm[Voertuigtype],"Lichte voertuigen")*SUMIFS(TableECFTransport[EnergieConsumptieFactor (PJ per km)],TableECFTransport[Index],CONCATENATE($A8,"_LPG_LPG"))</f>
        <v>8.3495118137320845E-4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0.11402537816818797</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3.3018564016940533E-2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6.5878971133880148E-3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3.0016999925302979E-2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1.0544723774236512E-5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1.3371764352137585E-3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8.3312431274618691E-7</v>
      </c>
      <c r="C10" s="433"/>
      <c r="D10" s="435">
        <f>vkm_2011_SW_PW*SUMIFS(TableVerdeelsleutelVkm[CNG],TableVerdeelsleutelVkm[Voertuigtype],"Lichte voertuigen")*SUMIFS(TableECFTransport[EnergieConsumptieFactor (PJ per km)],TableECFTransport[Index],CONCATENATE($A10,"_CNG_CNG"))</f>
        <v>2.1055739150403621E-6</v>
      </c>
      <c r="E10" s="435">
        <f>vkm_2011_SW_PW*SUMIFS(TableVerdeelsleutelVkm[LPG],TableVerdeelsleutelVkm[Voertuigtype],"Lichte voertuigen")*SUMIFS(TableECFTransport[EnergieConsumptieFactor (PJ per km)],TableECFTransport[Index],CONCATENATE($A10,"_LPG_LPG"))</f>
        <v>1.5616704218822562E-4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2.0574134360816277E-2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4.9952364601308016E-3</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1.1446642164213519E-3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1.5350708531939332E-2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6.570892195974734E-6</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6.8388658082496904E-4</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5.0474372957338858</v>
      </c>
      <c r="C14" s="22"/>
      <c r="D14" s="22">
        <f t="shared" ref="D14:M14" si="0">((D5)*10^9/3600)+D12</f>
        <v>14.233570429323661</v>
      </c>
      <c r="E14" s="22">
        <f t="shared" si="0"/>
        <v>831.52101821429346</v>
      </c>
      <c r="F14" s="22"/>
      <c r="G14" s="22">
        <f t="shared" si="0"/>
        <v>182123.53417749662</v>
      </c>
      <c r="H14" s="22">
        <f t="shared" si="0"/>
        <v>31657.313537278886</v>
      </c>
      <c r="I14" s="22"/>
      <c r="J14" s="22"/>
      <c r="K14" s="22"/>
      <c r="L14" s="22"/>
      <c r="M14" s="22">
        <f t="shared" si="0"/>
        <v>9558.1312490705386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0.15627235510704685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0.78877491345947803</v>
      </c>
      <c r="C18" s="24"/>
      <c r="D18" s="24">
        <f t="shared" ref="D18:M18" si="1">D14*D16</f>
        <v>2.8751812267233796</v>
      </c>
      <c r="E18" s="24">
        <f t="shared" si="1"/>
        <v>188.75527113464463</v>
      </c>
      <c r="F18" s="24"/>
      <c r="G18" s="24">
        <f t="shared" si="1"/>
        <v>48626.9836253916</v>
      </c>
      <c r="H18" s="24">
        <f t="shared" si="1"/>
        <v>7882.6710707824423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5.4977835599365858E-3</v>
      </c>
      <c r="H50" s="323">
        <f t="shared" si="2"/>
        <v>0</v>
      </c>
      <c r="I50" s="323">
        <f t="shared" si="2"/>
        <v>0</v>
      </c>
      <c r="J50" s="323">
        <f t="shared" si="2"/>
        <v>0</v>
      </c>
      <c r="K50" s="323">
        <f t="shared" si="2"/>
        <v>0</v>
      </c>
      <c r="L50" s="323">
        <f t="shared" si="2"/>
        <v>0</v>
      </c>
      <c r="M50" s="323">
        <f t="shared" si="2"/>
        <v>2.4141674527808354E-4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5.4977835599365858E-3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2.4141674527808354E-4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1527.1620999823849</v>
      </c>
      <c r="H54" s="22">
        <f t="shared" si="3"/>
        <v>0</v>
      </c>
      <c r="I54" s="22">
        <f t="shared" si="3"/>
        <v>0</v>
      </c>
      <c r="J54" s="22">
        <f t="shared" si="3"/>
        <v>0</v>
      </c>
      <c r="K54" s="22">
        <f t="shared" si="3"/>
        <v>0</v>
      </c>
      <c r="L54" s="22">
        <f t="shared" si="3"/>
        <v>0</v>
      </c>
      <c r="M54" s="22">
        <f t="shared" si="3"/>
        <v>67.060207021689877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0.15627235510704685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407.7522806952968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24817.677464978471</v>
      </c>
      <c r="D10" s="688">
        <f ca="1">tertiair!C16</f>
        <v>0</v>
      </c>
      <c r="E10" s="688">
        <f ca="1">tertiair!D16</f>
        <v>30055.19867167819</v>
      </c>
      <c r="F10" s="688">
        <f>tertiair!E16</f>
        <v>285.85562925731182</v>
      </c>
      <c r="G10" s="688">
        <f ca="1">tertiair!F16</f>
        <v>4847.9401660319018</v>
      </c>
      <c r="H10" s="688">
        <f>tertiair!G16</f>
        <v>0</v>
      </c>
      <c r="I10" s="688">
        <f>tertiair!H16</f>
        <v>0</v>
      </c>
      <c r="J10" s="688">
        <f>tertiair!I16</f>
        <v>0</v>
      </c>
      <c r="K10" s="688">
        <f>tertiair!J16</f>
        <v>0</v>
      </c>
      <c r="L10" s="688">
        <f>tertiair!K16</f>
        <v>0</v>
      </c>
      <c r="M10" s="688">
        <f ca="1">tertiair!L16</f>
        <v>0</v>
      </c>
      <c r="N10" s="688">
        <f>tertiair!M16</f>
        <v>0</v>
      </c>
      <c r="O10" s="688">
        <f ca="1">tertiair!N16</f>
        <v>1946.6390424652827</v>
      </c>
      <c r="P10" s="688">
        <f>tertiair!O16</f>
        <v>0</v>
      </c>
      <c r="Q10" s="689">
        <f>tertiair!P16</f>
        <v>0</v>
      </c>
      <c r="R10" s="691">
        <f ca="1">SUM(C10:Q10)</f>
        <v>61953.310974411164</v>
      </c>
      <c r="S10" s="68"/>
    </row>
    <row r="11" spans="1:19" s="457" customFormat="1">
      <c r="A11" s="803" t="s">
        <v>225</v>
      </c>
      <c r="B11" s="808"/>
      <c r="C11" s="688">
        <f>huishoudens!B8</f>
        <v>45504.314530002557</v>
      </c>
      <c r="D11" s="688">
        <f>huishoudens!C8</f>
        <v>0</v>
      </c>
      <c r="E11" s="688">
        <f>huishoudens!D8</f>
        <v>91276.034198700145</v>
      </c>
      <c r="F11" s="688">
        <f>huishoudens!E8</f>
        <v>11313.11381761413</v>
      </c>
      <c r="G11" s="688">
        <f>huishoudens!F8</f>
        <v>21542.135725280947</v>
      </c>
      <c r="H11" s="688">
        <f>huishoudens!G8</f>
        <v>0</v>
      </c>
      <c r="I11" s="688">
        <f>huishoudens!H8</f>
        <v>0</v>
      </c>
      <c r="J11" s="688">
        <f>huishoudens!I8</f>
        <v>0</v>
      </c>
      <c r="K11" s="688">
        <f>huishoudens!J8</f>
        <v>4629.4146611155284</v>
      </c>
      <c r="L11" s="688">
        <f>huishoudens!K8</f>
        <v>0</v>
      </c>
      <c r="M11" s="688">
        <f>huishoudens!L8</f>
        <v>0</v>
      </c>
      <c r="N11" s="688">
        <f>huishoudens!M8</f>
        <v>0</v>
      </c>
      <c r="O11" s="688">
        <f>huishoudens!N8</f>
        <v>33779.099316185027</v>
      </c>
      <c r="P11" s="688">
        <f>huishoudens!O8</f>
        <v>131.32000000000002</v>
      </c>
      <c r="Q11" s="689">
        <f>huishoudens!P8</f>
        <v>552.93333333333339</v>
      </c>
      <c r="R11" s="691">
        <f>SUM(C11:Q11)</f>
        <v>208728.36558223164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34072.798726403264</v>
      </c>
      <c r="D13" s="688">
        <f>industrie!C18</f>
        <v>0</v>
      </c>
      <c r="E13" s="688">
        <f>industrie!D18</f>
        <v>15116.424346929824</v>
      </c>
      <c r="F13" s="688">
        <f>industrie!E18</f>
        <v>330.13338686288444</v>
      </c>
      <c r="G13" s="688">
        <f>industrie!F18</f>
        <v>8733.1319634045394</v>
      </c>
      <c r="H13" s="688">
        <f>industrie!G18</f>
        <v>0</v>
      </c>
      <c r="I13" s="688">
        <f>industrie!H18</f>
        <v>0</v>
      </c>
      <c r="J13" s="688">
        <f>industrie!I18</f>
        <v>0</v>
      </c>
      <c r="K13" s="688">
        <f>industrie!J18</f>
        <v>121.60720988104667</v>
      </c>
      <c r="L13" s="688">
        <f>industrie!K18</f>
        <v>0</v>
      </c>
      <c r="M13" s="688">
        <f>industrie!L18</f>
        <v>0</v>
      </c>
      <c r="N13" s="688">
        <f>industrie!M18</f>
        <v>0</v>
      </c>
      <c r="O13" s="688">
        <f>industrie!N18</f>
        <v>1543.2833394782292</v>
      </c>
      <c r="P13" s="688">
        <f>industrie!O18</f>
        <v>0</v>
      </c>
      <c r="Q13" s="689">
        <f>industrie!P18</f>
        <v>0</v>
      </c>
      <c r="R13" s="691">
        <f>SUM(C13:Q13)</f>
        <v>59917.378972959792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104394.79072138428</v>
      </c>
      <c r="D16" s="721">
        <f t="shared" ref="D16:R16" ca="1" si="0">SUM(D9:D15)</f>
        <v>0</v>
      </c>
      <c r="E16" s="721">
        <f t="shared" ca="1" si="0"/>
        <v>136447.65721730815</v>
      </c>
      <c r="F16" s="721">
        <f t="shared" si="0"/>
        <v>11929.102833734327</v>
      </c>
      <c r="G16" s="721">
        <f t="shared" ca="1" si="0"/>
        <v>35123.207854717388</v>
      </c>
      <c r="H16" s="721">
        <f t="shared" si="0"/>
        <v>0</v>
      </c>
      <c r="I16" s="721">
        <f t="shared" si="0"/>
        <v>0</v>
      </c>
      <c r="J16" s="721">
        <f t="shared" si="0"/>
        <v>0</v>
      </c>
      <c r="K16" s="721">
        <f t="shared" si="0"/>
        <v>4751.0218709965748</v>
      </c>
      <c r="L16" s="721">
        <f t="shared" si="0"/>
        <v>0</v>
      </c>
      <c r="M16" s="721">
        <f t="shared" ca="1" si="0"/>
        <v>0</v>
      </c>
      <c r="N16" s="721">
        <f t="shared" si="0"/>
        <v>0</v>
      </c>
      <c r="O16" s="721">
        <f t="shared" ca="1" si="0"/>
        <v>37269.021698128541</v>
      </c>
      <c r="P16" s="721">
        <f t="shared" si="0"/>
        <v>131.32000000000002</v>
      </c>
      <c r="Q16" s="721">
        <f t="shared" si="0"/>
        <v>552.93333333333339</v>
      </c>
      <c r="R16" s="721">
        <f t="shared" ca="1" si="0"/>
        <v>330599.05552960257</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1527.1620999823849</v>
      </c>
      <c r="I19" s="688">
        <f>transport!H54</f>
        <v>0</v>
      </c>
      <c r="J19" s="688">
        <f>transport!I54</f>
        <v>0</v>
      </c>
      <c r="K19" s="688">
        <f>transport!J54</f>
        <v>0</v>
      </c>
      <c r="L19" s="688">
        <f>transport!K54</f>
        <v>0</v>
      </c>
      <c r="M19" s="688">
        <f>transport!L54</f>
        <v>0</v>
      </c>
      <c r="N19" s="688">
        <f>transport!M54</f>
        <v>67.060207021689877</v>
      </c>
      <c r="O19" s="688">
        <f>transport!N54</f>
        <v>0</v>
      </c>
      <c r="P19" s="688">
        <f>transport!O54</f>
        <v>0</v>
      </c>
      <c r="Q19" s="689">
        <f>transport!P54</f>
        <v>0</v>
      </c>
      <c r="R19" s="691">
        <f>SUM(C19:Q19)</f>
        <v>1594.2223070040748</v>
      </c>
      <c r="S19" s="68"/>
    </row>
    <row r="20" spans="1:19" s="457" customFormat="1">
      <c r="A20" s="803" t="s">
        <v>307</v>
      </c>
      <c r="B20" s="808"/>
      <c r="C20" s="688">
        <f>transport!B14</f>
        <v>5.0474372957338858</v>
      </c>
      <c r="D20" s="688">
        <f>transport!C14</f>
        <v>0</v>
      </c>
      <c r="E20" s="688">
        <f>transport!D14</f>
        <v>14.233570429323661</v>
      </c>
      <c r="F20" s="688">
        <f>transport!E14</f>
        <v>831.52101821429346</v>
      </c>
      <c r="G20" s="688">
        <f>transport!F14</f>
        <v>0</v>
      </c>
      <c r="H20" s="688">
        <f>transport!G14</f>
        <v>182123.53417749662</v>
      </c>
      <c r="I20" s="688">
        <f>transport!H14</f>
        <v>31657.313537278886</v>
      </c>
      <c r="J20" s="688">
        <f>transport!I14</f>
        <v>0</v>
      </c>
      <c r="K20" s="688">
        <f>transport!J14</f>
        <v>0</v>
      </c>
      <c r="L20" s="688">
        <f>transport!K14</f>
        <v>0</v>
      </c>
      <c r="M20" s="688">
        <f>transport!L14</f>
        <v>0</v>
      </c>
      <c r="N20" s="688">
        <f>transport!M14</f>
        <v>9558.1312490705386</v>
      </c>
      <c r="O20" s="688">
        <f>transport!N14</f>
        <v>0</v>
      </c>
      <c r="P20" s="688">
        <f>transport!O14</f>
        <v>0</v>
      </c>
      <c r="Q20" s="689">
        <f>transport!P14</f>
        <v>0</v>
      </c>
      <c r="R20" s="691">
        <f>SUM(C20:Q20)</f>
        <v>224189.78098978539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5.0474372957338858</v>
      </c>
      <c r="D22" s="806">
        <f t="shared" ref="D22:R22" si="1">SUM(D18:D21)</f>
        <v>0</v>
      </c>
      <c r="E22" s="806">
        <f t="shared" si="1"/>
        <v>14.233570429323661</v>
      </c>
      <c r="F22" s="806">
        <f t="shared" si="1"/>
        <v>831.52101821429346</v>
      </c>
      <c r="G22" s="806">
        <f t="shared" si="1"/>
        <v>0</v>
      </c>
      <c r="H22" s="806">
        <f t="shared" si="1"/>
        <v>183650.696277479</v>
      </c>
      <c r="I22" s="806">
        <f t="shared" si="1"/>
        <v>31657.313537278886</v>
      </c>
      <c r="J22" s="806">
        <f t="shared" si="1"/>
        <v>0</v>
      </c>
      <c r="K22" s="806">
        <f t="shared" si="1"/>
        <v>0</v>
      </c>
      <c r="L22" s="806">
        <f t="shared" si="1"/>
        <v>0</v>
      </c>
      <c r="M22" s="806">
        <f t="shared" si="1"/>
        <v>0</v>
      </c>
      <c r="N22" s="806">
        <f t="shared" si="1"/>
        <v>9625.1914560922287</v>
      </c>
      <c r="O22" s="806">
        <f t="shared" si="1"/>
        <v>0</v>
      </c>
      <c r="P22" s="806">
        <f t="shared" si="1"/>
        <v>0</v>
      </c>
      <c r="Q22" s="806">
        <f t="shared" si="1"/>
        <v>0</v>
      </c>
      <c r="R22" s="806">
        <f t="shared" si="1"/>
        <v>225784.00329678945</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5450.8905540564274</v>
      </c>
      <c r="D24" s="688">
        <f>+landbouw!C8</f>
        <v>62.357142857142847</v>
      </c>
      <c r="E24" s="688">
        <f>+landbouw!D8</f>
        <v>220.37040067026629</v>
      </c>
      <c r="F24" s="688">
        <f>+landbouw!E8</f>
        <v>51.351041235686772</v>
      </c>
      <c r="G24" s="688">
        <f>+landbouw!F8</f>
        <v>17788.06486958946</v>
      </c>
      <c r="H24" s="688">
        <f>+landbouw!G8</f>
        <v>0</v>
      </c>
      <c r="I24" s="688">
        <f>+landbouw!H8</f>
        <v>0</v>
      </c>
      <c r="J24" s="688">
        <f>+landbouw!I8</f>
        <v>0</v>
      </c>
      <c r="K24" s="688">
        <f>+landbouw!J8</f>
        <v>674.30167466334194</v>
      </c>
      <c r="L24" s="688">
        <f>+landbouw!K8</f>
        <v>0</v>
      </c>
      <c r="M24" s="688">
        <f>+landbouw!L8</f>
        <v>0</v>
      </c>
      <c r="N24" s="688">
        <f>+landbouw!M8</f>
        <v>0</v>
      </c>
      <c r="O24" s="688">
        <f>+landbouw!N8</f>
        <v>0</v>
      </c>
      <c r="P24" s="688">
        <f>+landbouw!O8</f>
        <v>0</v>
      </c>
      <c r="Q24" s="689">
        <f>+landbouw!P8</f>
        <v>0</v>
      </c>
      <c r="R24" s="691">
        <f>SUM(C24:Q24)</f>
        <v>24247.335683072324</v>
      </c>
      <c r="S24" s="68"/>
    </row>
    <row r="25" spans="1:19" s="457" customFormat="1" ht="15" thickBot="1">
      <c r="A25" s="825" t="s">
        <v>912</v>
      </c>
      <c r="B25" s="1001"/>
      <c r="C25" s="1002">
        <f>IF(Onbekend_ele_kWh="---",0,Onbekend_ele_kWh)/1000+IF(REST_rest_ele_kWh="---",0,REST_rest_ele_kWh)/1000</f>
        <v>1683.0839198425301</v>
      </c>
      <c r="D25" s="1002"/>
      <c r="E25" s="1002">
        <f>IF(onbekend_gas_kWh="---",0,onbekend_gas_kWh)/1000+IF(REST_rest_gas_kWh="---",0,REST_rest_gas_kWh)/1000</f>
        <v>3173.7544925299799</v>
      </c>
      <c r="F25" s="1002"/>
      <c r="G25" s="1002"/>
      <c r="H25" s="1002"/>
      <c r="I25" s="1002"/>
      <c r="J25" s="1002"/>
      <c r="K25" s="1002"/>
      <c r="L25" s="1002"/>
      <c r="M25" s="1002"/>
      <c r="N25" s="1002"/>
      <c r="O25" s="1002"/>
      <c r="P25" s="1002"/>
      <c r="Q25" s="1003"/>
      <c r="R25" s="691">
        <f>SUM(C25:Q25)</f>
        <v>4856.83841237251</v>
      </c>
      <c r="S25" s="68"/>
    </row>
    <row r="26" spans="1:19" s="457" customFormat="1" ht="15.75" thickBot="1">
      <c r="A26" s="694" t="s">
        <v>913</v>
      </c>
      <c r="B26" s="811"/>
      <c r="C26" s="806">
        <f>SUM(C24:C25)</f>
        <v>7133.9744738989575</v>
      </c>
      <c r="D26" s="806">
        <f t="shared" ref="D26:R26" si="2">SUM(D24:D25)</f>
        <v>62.357142857142847</v>
      </c>
      <c r="E26" s="806">
        <f t="shared" si="2"/>
        <v>3394.1248932002463</v>
      </c>
      <c r="F26" s="806">
        <f t="shared" si="2"/>
        <v>51.351041235686772</v>
      </c>
      <c r="G26" s="806">
        <f t="shared" si="2"/>
        <v>17788.06486958946</v>
      </c>
      <c r="H26" s="806">
        <f t="shared" si="2"/>
        <v>0</v>
      </c>
      <c r="I26" s="806">
        <f t="shared" si="2"/>
        <v>0</v>
      </c>
      <c r="J26" s="806">
        <f t="shared" si="2"/>
        <v>0</v>
      </c>
      <c r="K26" s="806">
        <f t="shared" si="2"/>
        <v>674.30167466334194</v>
      </c>
      <c r="L26" s="806">
        <f t="shared" si="2"/>
        <v>0</v>
      </c>
      <c r="M26" s="806">
        <f t="shared" si="2"/>
        <v>0</v>
      </c>
      <c r="N26" s="806">
        <f t="shared" si="2"/>
        <v>0</v>
      </c>
      <c r="O26" s="806">
        <f t="shared" si="2"/>
        <v>0</v>
      </c>
      <c r="P26" s="806">
        <f t="shared" si="2"/>
        <v>0</v>
      </c>
      <c r="Q26" s="806">
        <f t="shared" si="2"/>
        <v>0</v>
      </c>
      <c r="R26" s="806">
        <f t="shared" si="2"/>
        <v>29104.174095444832</v>
      </c>
      <c r="S26" s="68"/>
    </row>
    <row r="27" spans="1:19" s="457" customFormat="1" ht="17.25" thickTop="1" thickBot="1">
      <c r="A27" s="695" t="s">
        <v>116</v>
      </c>
      <c r="B27" s="798"/>
      <c r="C27" s="696">
        <f ca="1">C22+C16+C26</f>
        <v>111533.81263257898</v>
      </c>
      <c r="D27" s="696">
        <f t="shared" ref="D27:R27" ca="1" si="3">D22+D16+D26</f>
        <v>62.357142857142847</v>
      </c>
      <c r="E27" s="696">
        <f t="shared" ca="1" si="3"/>
        <v>139856.01568093771</v>
      </c>
      <c r="F27" s="696">
        <f t="shared" si="3"/>
        <v>12811.974893184306</v>
      </c>
      <c r="G27" s="696">
        <f t="shared" ca="1" si="3"/>
        <v>52911.272724306851</v>
      </c>
      <c r="H27" s="696">
        <f t="shared" si="3"/>
        <v>183650.696277479</v>
      </c>
      <c r="I27" s="696">
        <f t="shared" si="3"/>
        <v>31657.313537278886</v>
      </c>
      <c r="J27" s="696">
        <f t="shared" si="3"/>
        <v>0</v>
      </c>
      <c r="K27" s="696">
        <f t="shared" si="3"/>
        <v>5425.3235456599168</v>
      </c>
      <c r="L27" s="696">
        <f t="shared" si="3"/>
        <v>0</v>
      </c>
      <c r="M27" s="696">
        <f t="shared" ca="1" si="3"/>
        <v>0</v>
      </c>
      <c r="N27" s="696">
        <f t="shared" si="3"/>
        <v>9625.1914560922287</v>
      </c>
      <c r="O27" s="696">
        <f t="shared" ca="1" si="3"/>
        <v>37269.021698128541</v>
      </c>
      <c r="P27" s="696">
        <f t="shared" si="3"/>
        <v>131.32000000000002</v>
      </c>
      <c r="Q27" s="696">
        <f t="shared" si="3"/>
        <v>552.93333333333339</v>
      </c>
      <c r="R27" s="696">
        <f t="shared" ca="1" si="3"/>
        <v>585487.2329218369</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3878.3169057392693</v>
      </c>
      <c r="D40" s="688">
        <f ca="1">tertiair!C20</f>
        <v>0</v>
      </c>
      <c r="E40" s="688">
        <f ca="1">tertiair!D20</f>
        <v>6071.1501316789945</v>
      </c>
      <c r="F40" s="688">
        <f>tertiair!E20</f>
        <v>64.889227841409792</v>
      </c>
      <c r="G40" s="688">
        <f ca="1">tertiair!F20</f>
        <v>1294.4000243305179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11308.756289590192</v>
      </c>
    </row>
    <row r="41" spans="1:18">
      <c r="A41" s="816" t="s">
        <v>225</v>
      </c>
      <c r="B41" s="823"/>
      <c r="C41" s="688">
        <f ca="1">huishoudens!B12</f>
        <v>7111.0663991353113</v>
      </c>
      <c r="D41" s="688">
        <f ca="1">huishoudens!C12</f>
        <v>0</v>
      </c>
      <c r="E41" s="688">
        <f>huishoudens!D12</f>
        <v>18437.758908137432</v>
      </c>
      <c r="F41" s="688">
        <f>huishoudens!E12</f>
        <v>2568.0768365984077</v>
      </c>
      <c r="G41" s="688">
        <f>huishoudens!F12</f>
        <v>5751.7502386500128</v>
      </c>
      <c r="H41" s="688">
        <f>huishoudens!G12</f>
        <v>0</v>
      </c>
      <c r="I41" s="688">
        <f>huishoudens!H12</f>
        <v>0</v>
      </c>
      <c r="J41" s="688">
        <f>huishoudens!I12</f>
        <v>0</v>
      </c>
      <c r="K41" s="688">
        <f>huishoudens!J12</f>
        <v>1638.812790034897</v>
      </c>
      <c r="L41" s="688">
        <f>huishoudens!K12</f>
        <v>0</v>
      </c>
      <c r="M41" s="688">
        <f>huishoudens!L12</f>
        <v>0</v>
      </c>
      <c r="N41" s="688">
        <f>huishoudens!M12</f>
        <v>0</v>
      </c>
      <c r="O41" s="688">
        <f>huishoudens!N12</f>
        <v>0</v>
      </c>
      <c r="P41" s="688">
        <f>huishoudens!O12</f>
        <v>0</v>
      </c>
      <c r="Q41" s="763">
        <f>huishoudens!P12</f>
        <v>0</v>
      </c>
      <c r="R41" s="844">
        <f t="shared" ca="1" si="4"/>
        <v>35507.465172556062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5324.6365020634239</v>
      </c>
      <c r="D43" s="688">
        <f ca="1">industrie!C22</f>
        <v>0</v>
      </c>
      <c r="E43" s="688">
        <f>industrie!D22</f>
        <v>3053.5177180798246</v>
      </c>
      <c r="F43" s="688">
        <f>industrie!E22</f>
        <v>74.94027881787477</v>
      </c>
      <c r="G43" s="688">
        <f>industrie!F22</f>
        <v>2331.7462342290123</v>
      </c>
      <c r="H43" s="688">
        <f>industrie!G22</f>
        <v>0</v>
      </c>
      <c r="I43" s="688">
        <f>industrie!H22</f>
        <v>0</v>
      </c>
      <c r="J43" s="688">
        <f>industrie!I22</f>
        <v>0</v>
      </c>
      <c r="K43" s="688">
        <f>industrie!J22</f>
        <v>43.048952297890523</v>
      </c>
      <c r="L43" s="688">
        <f>industrie!K22</f>
        <v>0</v>
      </c>
      <c r="M43" s="688">
        <f>industrie!L22</f>
        <v>0</v>
      </c>
      <c r="N43" s="688">
        <f>industrie!M22</f>
        <v>0</v>
      </c>
      <c r="O43" s="688">
        <f>industrie!N22</f>
        <v>0</v>
      </c>
      <c r="P43" s="688">
        <f>industrie!O22</f>
        <v>0</v>
      </c>
      <c r="Q43" s="763">
        <f>industrie!P22</f>
        <v>0</v>
      </c>
      <c r="R43" s="843">
        <f t="shared" ca="1" si="4"/>
        <v>10827.889685488026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16314.019806938004</v>
      </c>
      <c r="D46" s="721">
        <f t="shared" ref="D46:Q46" ca="1" si="5">SUM(D39:D45)</f>
        <v>0</v>
      </c>
      <c r="E46" s="721">
        <f t="shared" ca="1" si="5"/>
        <v>27562.42675789625</v>
      </c>
      <c r="F46" s="721">
        <f t="shared" si="5"/>
        <v>2707.9063432576922</v>
      </c>
      <c r="G46" s="721">
        <f t="shared" ca="1" si="5"/>
        <v>9377.8964972095437</v>
      </c>
      <c r="H46" s="721">
        <f t="shared" si="5"/>
        <v>0</v>
      </c>
      <c r="I46" s="721">
        <f t="shared" si="5"/>
        <v>0</v>
      </c>
      <c r="J46" s="721">
        <f t="shared" si="5"/>
        <v>0</v>
      </c>
      <c r="K46" s="721">
        <f t="shared" si="5"/>
        <v>1681.8617423327876</v>
      </c>
      <c r="L46" s="721">
        <f t="shared" si="5"/>
        <v>0</v>
      </c>
      <c r="M46" s="721">
        <f t="shared" ca="1" si="5"/>
        <v>0</v>
      </c>
      <c r="N46" s="721">
        <f t="shared" si="5"/>
        <v>0</v>
      </c>
      <c r="O46" s="721">
        <f t="shared" ca="1" si="5"/>
        <v>0</v>
      </c>
      <c r="P46" s="721">
        <f t="shared" si="5"/>
        <v>0</v>
      </c>
      <c r="Q46" s="721">
        <f t="shared" si="5"/>
        <v>0</v>
      </c>
      <c r="R46" s="721">
        <f ca="1">SUM(R39:R45)</f>
        <v>57644.111147634278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407.7522806952968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407.7522806952968</v>
      </c>
    </row>
    <row r="50" spans="1:18">
      <c r="A50" s="819" t="s">
        <v>307</v>
      </c>
      <c r="B50" s="829"/>
      <c r="C50" s="1008">
        <f ca="1">transport!B18</f>
        <v>0.78877491345947803</v>
      </c>
      <c r="D50" s="1008">
        <f>transport!C18</f>
        <v>0</v>
      </c>
      <c r="E50" s="1008">
        <f>transport!D18</f>
        <v>2.8751812267233796</v>
      </c>
      <c r="F50" s="1008">
        <f>transport!E18</f>
        <v>188.75527113464463</v>
      </c>
      <c r="G50" s="1008">
        <f>transport!F18</f>
        <v>0</v>
      </c>
      <c r="H50" s="1008">
        <f>transport!G18</f>
        <v>48626.9836253916</v>
      </c>
      <c r="I50" s="1008">
        <f>transport!H18</f>
        <v>7882.6710707824423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56702.073923448872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0.78877491345947803</v>
      </c>
      <c r="D52" s="721">
        <f t="shared" ref="D52:Q52" ca="1" si="6">SUM(D48:D51)</f>
        <v>0</v>
      </c>
      <c r="E52" s="721">
        <f t="shared" si="6"/>
        <v>2.8751812267233796</v>
      </c>
      <c r="F52" s="721">
        <f t="shared" si="6"/>
        <v>188.75527113464463</v>
      </c>
      <c r="G52" s="721">
        <f t="shared" si="6"/>
        <v>0</v>
      </c>
      <c r="H52" s="721">
        <f t="shared" si="6"/>
        <v>49034.735906086898</v>
      </c>
      <c r="I52" s="721">
        <f t="shared" si="6"/>
        <v>7882.6710707824423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57109.82620414417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851.82350431315331</v>
      </c>
      <c r="D54" s="1008">
        <f ca="1">+landbouw!C12</f>
        <v>0</v>
      </c>
      <c r="E54" s="1008">
        <f>+landbouw!D12</f>
        <v>44.514820935393793</v>
      </c>
      <c r="F54" s="1008">
        <f>+landbouw!E12</f>
        <v>11.656686360500897</v>
      </c>
      <c r="G54" s="1008">
        <f>+landbouw!F12</f>
        <v>4749.4133201803861</v>
      </c>
      <c r="H54" s="1008">
        <f>+landbouw!G12</f>
        <v>0</v>
      </c>
      <c r="I54" s="1008">
        <f>+landbouw!H12</f>
        <v>0</v>
      </c>
      <c r="J54" s="1008">
        <f>+landbouw!I12</f>
        <v>0</v>
      </c>
      <c r="K54" s="1008">
        <f>+landbouw!J12</f>
        <v>238.70279283082303</v>
      </c>
      <c r="L54" s="1008">
        <f>+landbouw!K12</f>
        <v>0</v>
      </c>
      <c r="M54" s="1008">
        <f>+landbouw!L12</f>
        <v>0</v>
      </c>
      <c r="N54" s="1008">
        <f>+landbouw!M12</f>
        <v>0</v>
      </c>
      <c r="O54" s="1008">
        <f>+landbouw!N12</f>
        <v>0</v>
      </c>
      <c r="P54" s="1008">
        <f>+landbouw!O12</f>
        <v>0</v>
      </c>
      <c r="Q54" s="1009">
        <f>+landbouw!P12</f>
        <v>0</v>
      </c>
      <c r="R54" s="720">
        <f ca="1">SUM(C54:Q54)</f>
        <v>5896.1111246202572</v>
      </c>
    </row>
    <row r="55" spans="1:18" ht="15" thickBot="1">
      <c r="A55" s="819" t="s">
        <v>912</v>
      </c>
      <c r="B55" s="829"/>
      <c r="C55" s="1008">
        <f ca="1">C25*'EF ele_warmte'!B12</f>
        <v>263.01948799659226</v>
      </c>
      <c r="D55" s="1008"/>
      <c r="E55" s="1008">
        <f>E25*EF_CO2_aardgas</f>
        <v>641.09840749105592</v>
      </c>
      <c r="F55" s="1008"/>
      <c r="G55" s="1008"/>
      <c r="H55" s="1008"/>
      <c r="I55" s="1008"/>
      <c r="J55" s="1008"/>
      <c r="K55" s="1008"/>
      <c r="L55" s="1008"/>
      <c r="M55" s="1008"/>
      <c r="N55" s="1008"/>
      <c r="O55" s="1008"/>
      <c r="P55" s="1008"/>
      <c r="Q55" s="1009"/>
      <c r="R55" s="720">
        <f ca="1">SUM(C55:Q55)</f>
        <v>904.11789548764818</v>
      </c>
    </row>
    <row r="56" spans="1:18" ht="15.75" thickBot="1">
      <c r="A56" s="817" t="s">
        <v>913</v>
      </c>
      <c r="B56" s="830"/>
      <c r="C56" s="721">
        <f ca="1">SUM(C54:C55)</f>
        <v>1114.8429923097456</v>
      </c>
      <c r="D56" s="721">
        <f t="shared" ref="D56:Q56" ca="1" si="7">SUM(D54:D55)</f>
        <v>0</v>
      </c>
      <c r="E56" s="721">
        <f t="shared" si="7"/>
        <v>685.61322842644972</v>
      </c>
      <c r="F56" s="721">
        <f t="shared" si="7"/>
        <v>11.656686360500897</v>
      </c>
      <c r="G56" s="721">
        <f t="shared" si="7"/>
        <v>4749.4133201803861</v>
      </c>
      <c r="H56" s="721">
        <f t="shared" si="7"/>
        <v>0</v>
      </c>
      <c r="I56" s="721">
        <f t="shared" si="7"/>
        <v>0</v>
      </c>
      <c r="J56" s="721">
        <f t="shared" si="7"/>
        <v>0</v>
      </c>
      <c r="K56" s="721">
        <f t="shared" si="7"/>
        <v>238.70279283082303</v>
      </c>
      <c r="L56" s="721">
        <f t="shared" si="7"/>
        <v>0</v>
      </c>
      <c r="M56" s="721">
        <f t="shared" si="7"/>
        <v>0</v>
      </c>
      <c r="N56" s="721">
        <f t="shared" si="7"/>
        <v>0</v>
      </c>
      <c r="O56" s="721">
        <f t="shared" si="7"/>
        <v>0</v>
      </c>
      <c r="P56" s="721">
        <f t="shared" si="7"/>
        <v>0</v>
      </c>
      <c r="Q56" s="722">
        <f t="shared" si="7"/>
        <v>0</v>
      </c>
      <c r="R56" s="723">
        <f ca="1">SUM(R54:R55)</f>
        <v>6800.2290201079049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17429.651574161209</v>
      </c>
      <c r="D61" s="729">
        <f t="shared" ref="D61:Q61" ca="1" si="8">D46+D52+D56</f>
        <v>0</v>
      </c>
      <c r="E61" s="729">
        <f t="shared" ca="1" si="8"/>
        <v>28250.915167549421</v>
      </c>
      <c r="F61" s="729">
        <f t="shared" si="8"/>
        <v>2908.3183007528378</v>
      </c>
      <c r="G61" s="729">
        <f t="shared" ca="1" si="8"/>
        <v>14127.309817389931</v>
      </c>
      <c r="H61" s="729">
        <f t="shared" si="8"/>
        <v>49034.735906086898</v>
      </c>
      <c r="I61" s="729">
        <f t="shared" si="8"/>
        <v>7882.6710707824423</v>
      </c>
      <c r="J61" s="729">
        <f t="shared" si="8"/>
        <v>0</v>
      </c>
      <c r="K61" s="729">
        <f t="shared" si="8"/>
        <v>1920.5645351636106</v>
      </c>
      <c r="L61" s="729">
        <f t="shared" si="8"/>
        <v>0</v>
      </c>
      <c r="M61" s="729">
        <f t="shared" ca="1" si="8"/>
        <v>0</v>
      </c>
      <c r="N61" s="729">
        <f t="shared" si="8"/>
        <v>0</v>
      </c>
      <c r="O61" s="729">
        <f t="shared" ca="1" si="8"/>
        <v>0</v>
      </c>
      <c r="P61" s="729">
        <f t="shared" si="8"/>
        <v>0</v>
      </c>
      <c r="Q61" s="729">
        <f t="shared" si="8"/>
        <v>0</v>
      </c>
      <c r="R61" s="729">
        <f ca="1">R46+R52+R56</f>
        <v>121554.16637188634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0.15627235510704685</v>
      </c>
      <c r="D63" s="773">
        <f t="shared" ca="1" si="9"/>
        <v>0</v>
      </c>
      <c r="E63" s="1010">
        <f t="shared" ca="1" si="9"/>
        <v>0.20200000000000004</v>
      </c>
      <c r="F63" s="773">
        <f t="shared" si="9"/>
        <v>0.22700000000000004</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26653.028448561028</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5969.9324909808029</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43.649999999999991</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51.35294117647058</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32666.610939541832</v>
      </c>
      <c r="C78" s="744">
        <f>SUM(C72:C77)</f>
        <v>0</v>
      </c>
      <c r="D78" s="745">
        <f t="shared" ref="D78:H78" si="10">SUM(D76:D77)</f>
        <v>0</v>
      </c>
      <c r="E78" s="745">
        <f t="shared" si="10"/>
        <v>0</v>
      </c>
      <c r="F78" s="745">
        <f t="shared" si="10"/>
        <v>0</v>
      </c>
      <c r="G78" s="745">
        <f t="shared" si="10"/>
        <v>0</v>
      </c>
      <c r="H78" s="745">
        <f t="shared" si="10"/>
        <v>0</v>
      </c>
      <c r="I78" s="745">
        <f>SUM(I76:I77)</f>
        <v>0</v>
      </c>
      <c r="J78" s="745">
        <f>SUM(J76:J77)</f>
        <v>51.35294117647058</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62.357142857142847</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73.361344537815114</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62.357142857142847</v>
      </c>
      <c r="C90" s="744">
        <f>SUM(C87:C89)</f>
        <v>0</v>
      </c>
      <c r="D90" s="744">
        <f t="shared" ref="D90:H90" si="12">SUM(D87:D89)</f>
        <v>0</v>
      </c>
      <c r="E90" s="744">
        <f t="shared" si="12"/>
        <v>0</v>
      </c>
      <c r="F90" s="744">
        <f t="shared" si="12"/>
        <v>0</v>
      </c>
      <c r="G90" s="744">
        <f t="shared" si="12"/>
        <v>0</v>
      </c>
      <c r="H90" s="744">
        <f t="shared" si="12"/>
        <v>0</v>
      </c>
      <c r="I90" s="744">
        <f>SUM(I87:I89)</f>
        <v>0</v>
      </c>
      <c r="J90" s="744">
        <f>SUM(J87:J89)</f>
        <v>73.361344537815114</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26653.028448561028</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5969.9324909808029</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43.649999999999991</v>
      </c>
      <c r="C8" s="558">
        <f>B101</f>
        <v>0</v>
      </c>
      <c r="D8" s="991"/>
      <c r="E8" s="991">
        <f>E101</f>
        <v>0</v>
      </c>
      <c r="F8" s="992"/>
      <c r="G8" s="559"/>
      <c r="H8" s="991">
        <f>I101</f>
        <v>0</v>
      </c>
      <c r="I8" s="991">
        <f>G101+F101</f>
        <v>0</v>
      </c>
      <c r="J8" s="991">
        <f>H101+D101+C101</f>
        <v>51.35294117647058</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32666.610939541832</v>
      </c>
      <c r="C10" s="570">
        <f t="shared" ref="C10:L10" si="0">SUM(C8:C9)</f>
        <v>0</v>
      </c>
      <c r="D10" s="570">
        <f t="shared" si="0"/>
        <v>0</v>
      </c>
      <c r="E10" s="570">
        <f t="shared" si="0"/>
        <v>0</v>
      </c>
      <c r="F10" s="570">
        <f t="shared" si="0"/>
        <v>0</v>
      </c>
      <c r="G10" s="570">
        <f t="shared" si="0"/>
        <v>0</v>
      </c>
      <c r="H10" s="570">
        <f t="shared" si="0"/>
        <v>0</v>
      </c>
      <c r="I10" s="570">
        <f t="shared" si="0"/>
        <v>0</v>
      </c>
      <c r="J10" s="570">
        <f t="shared" si="0"/>
        <v>51.35294117647058</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62.357142857142847</v>
      </c>
      <c r="C17" s="582">
        <f>B102</f>
        <v>0</v>
      </c>
      <c r="D17" s="583"/>
      <c r="E17" s="583">
        <f>E102</f>
        <v>0</v>
      </c>
      <c r="F17" s="584"/>
      <c r="G17" s="585"/>
      <c r="H17" s="582">
        <f>I102</f>
        <v>0</v>
      </c>
      <c r="I17" s="583">
        <f>G102+F102</f>
        <v>0</v>
      </c>
      <c r="J17" s="583">
        <f>H102+D102+C102</f>
        <v>73.361344537815114</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62.357142857142847</v>
      </c>
      <c r="C20" s="569">
        <f>SUM(C17:C19)</f>
        <v>0</v>
      </c>
      <c r="D20" s="569">
        <f t="shared" ref="D20:L20" si="1">SUM(D17:D19)</f>
        <v>0</v>
      </c>
      <c r="E20" s="569">
        <f t="shared" si="1"/>
        <v>0</v>
      </c>
      <c r="F20" s="569">
        <f t="shared" si="1"/>
        <v>0</v>
      </c>
      <c r="G20" s="569">
        <f t="shared" si="1"/>
        <v>0</v>
      </c>
      <c r="H20" s="569">
        <f t="shared" si="1"/>
        <v>0</v>
      </c>
      <c r="I20" s="569">
        <f t="shared" si="1"/>
        <v>0</v>
      </c>
      <c r="J20" s="569">
        <f t="shared" si="1"/>
        <v>73.361344537815114</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43010</v>
      </c>
      <c r="C28" s="789">
        <v>9991</v>
      </c>
      <c r="D28" s="642" t="s">
        <v>948</v>
      </c>
      <c r="E28" s="641" t="s">
        <v>949</v>
      </c>
      <c r="F28" s="641" t="s">
        <v>950</v>
      </c>
      <c r="G28" s="641" t="s">
        <v>951</v>
      </c>
      <c r="H28" s="641" t="s">
        <v>952</v>
      </c>
      <c r="I28" s="641" t="s">
        <v>949</v>
      </c>
      <c r="J28" s="788">
        <v>41174</v>
      </c>
      <c r="K28" s="788">
        <v>41275</v>
      </c>
      <c r="L28" s="641" t="s">
        <v>953</v>
      </c>
      <c r="M28" s="641">
        <v>9.6999999999999993</v>
      </c>
      <c r="N28" s="641">
        <v>43.649999999999991</v>
      </c>
      <c r="O28" s="641">
        <v>62.357142857142847</v>
      </c>
      <c r="P28" s="641">
        <v>0</v>
      </c>
      <c r="Q28" s="641">
        <v>124.71428571428569</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9.6999999999999993</v>
      </c>
      <c r="N58" s="599">
        <f>SUM(N28:N57)</f>
        <v>43.649999999999991</v>
      </c>
      <c r="O58" s="599">
        <f t="shared" ref="O58:W58" si="2">SUM(O28:O57)</f>
        <v>62.357142857142847</v>
      </c>
      <c r="P58" s="599">
        <f t="shared" si="2"/>
        <v>0</v>
      </c>
      <c r="Q58" s="599">
        <f t="shared" si="2"/>
        <v>124.71428571428569</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9.6999999999999993</v>
      </c>
      <c r="N61" s="604">
        <f t="shared" si="4"/>
        <v>43.649999999999991</v>
      </c>
      <c r="O61" s="604">
        <f t="shared" si="4"/>
        <v>62.357142857142847</v>
      </c>
      <c r="P61" s="604">
        <f t="shared" si="4"/>
        <v>0</v>
      </c>
      <c r="Q61" s="604">
        <f t="shared" si="4"/>
        <v>124.71428571428569</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51.35294117647058</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73.361344537815114</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45504.314530002557</v>
      </c>
      <c r="C4" s="461">
        <f>huishoudens!C8</f>
        <v>0</v>
      </c>
      <c r="D4" s="461">
        <f>huishoudens!D8</f>
        <v>91276.034198700145</v>
      </c>
      <c r="E4" s="461">
        <f>huishoudens!E8</f>
        <v>11313.11381761413</v>
      </c>
      <c r="F4" s="461">
        <f>huishoudens!F8</f>
        <v>21542.135725280947</v>
      </c>
      <c r="G4" s="461">
        <f>huishoudens!G8</f>
        <v>0</v>
      </c>
      <c r="H4" s="461">
        <f>huishoudens!H8</f>
        <v>0</v>
      </c>
      <c r="I4" s="461">
        <f>huishoudens!I8</f>
        <v>0</v>
      </c>
      <c r="J4" s="461">
        <f>huishoudens!J8</f>
        <v>4629.4146611155284</v>
      </c>
      <c r="K4" s="461">
        <f>huishoudens!K8</f>
        <v>0</v>
      </c>
      <c r="L4" s="461">
        <f>huishoudens!L8</f>
        <v>0</v>
      </c>
      <c r="M4" s="461">
        <f>huishoudens!M8</f>
        <v>0</v>
      </c>
      <c r="N4" s="461">
        <f>huishoudens!N8</f>
        <v>33779.099316185027</v>
      </c>
      <c r="O4" s="461">
        <f>huishoudens!O8</f>
        <v>131.32000000000002</v>
      </c>
      <c r="P4" s="462">
        <f>huishoudens!P8</f>
        <v>552.93333333333339</v>
      </c>
      <c r="Q4" s="463">
        <f>SUM(B4:P4)</f>
        <v>208728.36558223164</v>
      </c>
    </row>
    <row r="5" spans="1:17">
      <c r="A5" s="460" t="s">
        <v>156</v>
      </c>
      <c r="B5" s="461">
        <f ca="1">tertiair!B16</f>
        <v>23260.76246497847</v>
      </c>
      <c r="C5" s="461">
        <f ca="1">tertiair!C16</f>
        <v>0</v>
      </c>
      <c r="D5" s="461">
        <f ca="1">tertiair!D16</f>
        <v>30055.19867167819</v>
      </c>
      <c r="E5" s="461">
        <f>tertiair!E16</f>
        <v>285.85562925731182</v>
      </c>
      <c r="F5" s="461">
        <f ca="1">tertiair!F16</f>
        <v>4847.9401660319018</v>
      </c>
      <c r="G5" s="461">
        <f>tertiair!G16</f>
        <v>0</v>
      </c>
      <c r="H5" s="461">
        <f>tertiair!H16</f>
        <v>0</v>
      </c>
      <c r="I5" s="461">
        <f>tertiair!I16</f>
        <v>0</v>
      </c>
      <c r="J5" s="461">
        <f>tertiair!J16</f>
        <v>0</v>
      </c>
      <c r="K5" s="461">
        <f>tertiair!K16</f>
        <v>0</v>
      </c>
      <c r="L5" s="461">
        <f ca="1">tertiair!L16</f>
        <v>0</v>
      </c>
      <c r="M5" s="461">
        <f>tertiair!M16</f>
        <v>0</v>
      </c>
      <c r="N5" s="461">
        <f ca="1">tertiair!N16</f>
        <v>1946.6390424652827</v>
      </c>
      <c r="O5" s="461">
        <f>tertiair!O16</f>
        <v>0</v>
      </c>
      <c r="P5" s="462">
        <f>tertiair!P16</f>
        <v>0</v>
      </c>
      <c r="Q5" s="460">
        <f t="shared" ref="Q5:Q14" ca="1" si="0">SUM(B5:P5)</f>
        <v>60396.395974411156</v>
      </c>
    </row>
    <row r="6" spans="1:17">
      <c r="A6" s="460" t="s">
        <v>194</v>
      </c>
      <c r="B6" s="461">
        <f>'openbare verlichting'!B8</f>
        <v>1556.915</v>
      </c>
      <c r="C6" s="461"/>
      <c r="D6" s="461"/>
      <c r="E6" s="461"/>
      <c r="F6" s="461"/>
      <c r="G6" s="461"/>
      <c r="H6" s="461"/>
      <c r="I6" s="461"/>
      <c r="J6" s="461"/>
      <c r="K6" s="461"/>
      <c r="L6" s="461"/>
      <c r="M6" s="461"/>
      <c r="N6" s="461"/>
      <c r="O6" s="461"/>
      <c r="P6" s="462"/>
      <c r="Q6" s="460">
        <f t="shared" si="0"/>
        <v>1556.915</v>
      </c>
    </row>
    <row r="7" spans="1:17">
      <c r="A7" s="460" t="s">
        <v>112</v>
      </c>
      <c r="B7" s="461">
        <f>landbouw!B8</f>
        <v>5450.8905540564274</v>
      </c>
      <c r="C7" s="461">
        <f>landbouw!C8</f>
        <v>62.357142857142847</v>
      </c>
      <c r="D7" s="461">
        <f>landbouw!D8</f>
        <v>220.37040067026629</v>
      </c>
      <c r="E7" s="461">
        <f>landbouw!E8</f>
        <v>51.351041235686772</v>
      </c>
      <c r="F7" s="461">
        <f>landbouw!F8</f>
        <v>17788.06486958946</v>
      </c>
      <c r="G7" s="461">
        <f>landbouw!G8</f>
        <v>0</v>
      </c>
      <c r="H7" s="461">
        <f>landbouw!H8</f>
        <v>0</v>
      </c>
      <c r="I7" s="461">
        <f>landbouw!I8</f>
        <v>0</v>
      </c>
      <c r="J7" s="461">
        <f>landbouw!J8</f>
        <v>674.30167466334194</v>
      </c>
      <c r="K7" s="461">
        <f>landbouw!K8</f>
        <v>0</v>
      </c>
      <c r="L7" s="461">
        <f>landbouw!L8</f>
        <v>0</v>
      </c>
      <c r="M7" s="461">
        <f>landbouw!M8</f>
        <v>0</v>
      </c>
      <c r="N7" s="461">
        <f>landbouw!N8</f>
        <v>0</v>
      </c>
      <c r="O7" s="461">
        <f>landbouw!O8</f>
        <v>0</v>
      </c>
      <c r="P7" s="462">
        <f>landbouw!P8</f>
        <v>0</v>
      </c>
      <c r="Q7" s="460">
        <f t="shared" si="0"/>
        <v>24247.335683072324</v>
      </c>
    </row>
    <row r="8" spans="1:17">
      <c r="A8" s="460" t="s">
        <v>685</v>
      </c>
      <c r="B8" s="461">
        <f>industrie!B18</f>
        <v>34072.798726403264</v>
      </c>
      <c r="C8" s="461">
        <f>industrie!C18</f>
        <v>0</v>
      </c>
      <c r="D8" s="461">
        <f>industrie!D18</f>
        <v>15116.424346929824</v>
      </c>
      <c r="E8" s="461">
        <f>industrie!E18</f>
        <v>330.13338686288444</v>
      </c>
      <c r="F8" s="461">
        <f>industrie!F18</f>
        <v>8733.1319634045394</v>
      </c>
      <c r="G8" s="461">
        <f>industrie!G18</f>
        <v>0</v>
      </c>
      <c r="H8" s="461">
        <f>industrie!H18</f>
        <v>0</v>
      </c>
      <c r="I8" s="461">
        <f>industrie!I18</f>
        <v>0</v>
      </c>
      <c r="J8" s="461">
        <f>industrie!J18</f>
        <v>121.60720988104667</v>
      </c>
      <c r="K8" s="461">
        <f>industrie!K18</f>
        <v>0</v>
      </c>
      <c r="L8" s="461">
        <f>industrie!L18</f>
        <v>0</v>
      </c>
      <c r="M8" s="461">
        <f>industrie!M18</f>
        <v>0</v>
      </c>
      <c r="N8" s="461">
        <f>industrie!N18</f>
        <v>1543.2833394782292</v>
      </c>
      <c r="O8" s="461">
        <f>industrie!O18</f>
        <v>0</v>
      </c>
      <c r="P8" s="462">
        <f>industrie!P18</f>
        <v>0</v>
      </c>
      <c r="Q8" s="460">
        <f t="shared" si="0"/>
        <v>59917.378972959792</v>
      </c>
    </row>
    <row r="9" spans="1:17" s="466" customFormat="1">
      <c r="A9" s="464" t="s">
        <v>579</v>
      </c>
      <c r="B9" s="465">
        <f>transport!B14</f>
        <v>5.0474372957338858</v>
      </c>
      <c r="C9" s="465">
        <f>transport!C14</f>
        <v>0</v>
      </c>
      <c r="D9" s="465">
        <f>transport!D14</f>
        <v>14.233570429323661</v>
      </c>
      <c r="E9" s="465">
        <f>transport!E14</f>
        <v>831.52101821429346</v>
      </c>
      <c r="F9" s="465">
        <f>transport!F14</f>
        <v>0</v>
      </c>
      <c r="G9" s="465">
        <f>transport!G14</f>
        <v>182123.53417749662</v>
      </c>
      <c r="H9" s="465">
        <f>transport!H14</f>
        <v>31657.313537278886</v>
      </c>
      <c r="I9" s="465">
        <f>transport!I14</f>
        <v>0</v>
      </c>
      <c r="J9" s="465">
        <f>transport!J14</f>
        <v>0</v>
      </c>
      <c r="K9" s="465">
        <f>transport!K14</f>
        <v>0</v>
      </c>
      <c r="L9" s="465">
        <f>transport!L14</f>
        <v>0</v>
      </c>
      <c r="M9" s="465">
        <f>transport!M14</f>
        <v>9558.1312490705386</v>
      </c>
      <c r="N9" s="465">
        <f>transport!N14</f>
        <v>0</v>
      </c>
      <c r="O9" s="465">
        <f>transport!O14</f>
        <v>0</v>
      </c>
      <c r="P9" s="465">
        <f>transport!P14</f>
        <v>0</v>
      </c>
      <c r="Q9" s="464">
        <f>SUM(B9:P9)</f>
        <v>224189.78098978539</v>
      </c>
    </row>
    <row r="10" spans="1:17">
      <c r="A10" s="460" t="s">
        <v>569</v>
      </c>
      <c r="B10" s="461">
        <f>transport!B54</f>
        <v>0</v>
      </c>
      <c r="C10" s="461">
        <f>transport!C54</f>
        <v>0</v>
      </c>
      <c r="D10" s="461">
        <f>transport!D54</f>
        <v>0</v>
      </c>
      <c r="E10" s="461">
        <f>transport!E54</f>
        <v>0</v>
      </c>
      <c r="F10" s="461">
        <f>transport!F54</f>
        <v>0</v>
      </c>
      <c r="G10" s="461">
        <f>transport!G54</f>
        <v>1527.1620999823849</v>
      </c>
      <c r="H10" s="461">
        <f>transport!H54</f>
        <v>0</v>
      </c>
      <c r="I10" s="461">
        <f>transport!I54</f>
        <v>0</v>
      </c>
      <c r="J10" s="461">
        <f>transport!J54</f>
        <v>0</v>
      </c>
      <c r="K10" s="461">
        <f>transport!K54</f>
        <v>0</v>
      </c>
      <c r="L10" s="461">
        <f>transport!L54</f>
        <v>0</v>
      </c>
      <c r="M10" s="461">
        <f>transport!M54</f>
        <v>67.060207021689877</v>
      </c>
      <c r="N10" s="461">
        <f>transport!N54</f>
        <v>0</v>
      </c>
      <c r="O10" s="461">
        <f>transport!O54</f>
        <v>0</v>
      </c>
      <c r="P10" s="462">
        <f>transport!P54</f>
        <v>0</v>
      </c>
      <c r="Q10" s="460">
        <f t="shared" si="0"/>
        <v>1594.2223070040748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1683.0839198425301</v>
      </c>
      <c r="C14" s="468"/>
      <c r="D14" s="468">
        <f>'SEAP template'!E25</f>
        <v>3173.7544925299799</v>
      </c>
      <c r="E14" s="468"/>
      <c r="F14" s="468"/>
      <c r="G14" s="468"/>
      <c r="H14" s="468"/>
      <c r="I14" s="468"/>
      <c r="J14" s="468"/>
      <c r="K14" s="468"/>
      <c r="L14" s="468"/>
      <c r="M14" s="468"/>
      <c r="N14" s="468"/>
      <c r="O14" s="468"/>
      <c r="P14" s="469"/>
      <c r="Q14" s="460">
        <f t="shared" si="0"/>
        <v>4856.83841237251</v>
      </c>
    </row>
    <row r="15" spans="1:17" s="473" customFormat="1">
      <c r="A15" s="470" t="s">
        <v>573</v>
      </c>
      <c r="B15" s="471">
        <f ca="1">SUM(B4:B14)</f>
        <v>111533.81263257899</v>
      </c>
      <c r="C15" s="471">
        <f t="shared" ref="C15:Q15" ca="1" si="1">SUM(C4:C14)</f>
        <v>62.357142857142847</v>
      </c>
      <c r="D15" s="471">
        <f t="shared" ca="1" si="1"/>
        <v>139856.01568093771</v>
      </c>
      <c r="E15" s="471">
        <f t="shared" si="1"/>
        <v>12811.974893184306</v>
      </c>
      <c r="F15" s="471">
        <f t="shared" ca="1" si="1"/>
        <v>52911.272724306851</v>
      </c>
      <c r="G15" s="471">
        <f t="shared" si="1"/>
        <v>183650.696277479</v>
      </c>
      <c r="H15" s="471">
        <f t="shared" si="1"/>
        <v>31657.313537278886</v>
      </c>
      <c r="I15" s="471">
        <f t="shared" si="1"/>
        <v>0</v>
      </c>
      <c r="J15" s="471">
        <f t="shared" si="1"/>
        <v>5425.3235456599168</v>
      </c>
      <c r="K15" s="471">
        <f t="shared" si="1"/>
        <v>0</v>
      </c>
      <c r="L15" s="471">
        <f t="shared" ca="1" si="1"/>
        <v>0</v>
      </c>
      <c r="M15" s="471">
        <f t="shared" si="1"/>
        <v>9625.1914560922287</v>
      </c>
      <c r="N15" s="471">
        <f t="shared" ca="1" si="1"/>
        <v>37269.021698128541</v>
      </c>
      <c r="O15" s="471">
        <f t="shared" si="1"/>
        <v>131.32000000000002</v>
      </c>
      <c r="P15" s="471">
        <f t="shared" si="1"/>
        <v>552.93333333333339</v>
      </c>
      <c r="Q15" s="471">
        <f t="shared" ca="1" si="1"/>
        <v>585487.23292183678</v>
      </c>
    </row>
    <row r="17" spans="1:17">
      <c r="A17" s="474" t="s">
        <v>574</v>
      </c>
      <c r="B17" s="778">
        <f ca="1">huishoudens!B10</f>
        <v>0.15627235510704685</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7111.0663991353113</v>
      </c>
      <c r="C22" s="461">
        <f t="shared" ref="C22:C32" ca="1" si="3">C4*$C$17</f>
        <v>0</v>
      </c>
      <c r="D22" s="461">
        <f t="shared" ref="D22:D32" si="4">D4*$D$17</f>
        <v>18437.758908137432</v>
      </c>
      <c r="E22" s="461">
        <f t="shared" ref="E22:E32" si="5">E4*$E$17</f>
        <v>2568.0768365984077</v>
      </c>
      <c r="F22" s="461">
        <f t="shared" ref="F22:F32" si="6">F4*$F$17</f>
        <v>5751.7502386500128</v>
      </c>
      <c r="G22" s="461">
        <f t="shared" ref="G22:G32" si="7">G4*$G$17</f>
        <v>0</v>
      </c>
      <c r="H22" s="461">
        <f t="shared" ref="H22:H32" si="8">H4*$H$17</f>
        <v>0</v>
      </c>
      <c r="I22" s="461">
        <f t="shared" ref="I22:I32" si="9">I4*$I$17</f>
        <v>0</v>
      </c>
      <c r="J22" s="461">
        <f t="shared" ref="J22:J32" si="10">J4*$J$17</f>
        <v>1638.812790034897</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35507.465172556062</v>
      </c>
    </row>
    <row r="23" spans="1:17">
      <c r="A23" s="460" t="s">
        <v>156</v>
      </c>
      <c r="B23" s="461">
        <f t="shared" ca="1" si="2"/>
        <v>3635.0141319877816</v>
      </c>
      <c r="C23" s="461">
        <f t="shared" ca="1" si="3"/>
        <v>0</v>
      </c>
      <c r="D23" s="461">
        <f t="shared" ca="1" si="4"/>
        <v>6071.1501316789945</v>
      </c>
      <c r="E23" s="461">
        <f t="shared" si="5"/>
        <v>64.889227841409792</v>
      </c>
      <c r="F23" s="461">
        <f t="shared" ca="1" si="6"/>
        <v>1294.4000243305179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11065.453515838704</v>
      </c>
    </row>
    <row r="24" spans="1:17">
      <c r="A24" s="460" t="s">
        <v>194</v>
      </c>
      <c r="B24" s="461">
        <f t="shared" ca="1" si="2"/>
        <v>243.30277375148782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243.30277375148782</v>
      </c>
    </row>
    <row r="25" spans="1:17">
      <c r="A25" s="460" t="s">
        <v>112</v>
      </c>
      <c r="B25" s="461">
        <f t="shared" ca="1" si="2"/>
        <v>851.82350431315331</v>
      </c>
      <c r="C25" s="461">
        <f t="shared" ca="1" si="3"/>
        <v>0</v>
      </c>
      <c r="D25" s="461">
        <f t="shared" si="4"/>
        <v>44.514820935393793</v>
      </c>
      <c r="E25" s="461">
        <f t="shared" si="5"/>
        <v>11.656686360500897</v>
      </c>
      <c r="F25" s="461">
        <f t="shared" si="6"/>
        <v>4749.4133201803861</v>
      </c>
      <c r="G25" s="461">
        <f t="shared" si="7"/>
        <v>0</v>
      </c>
      <c r="H25" s="461">
        <f t="shared" si="8"/>
        <v>0</v>
      </c>
      <c r="I25" s="461">
        <f t="shared" si="9"/>
        <v>0</v>
      </c>
      <c r="J25" s="461">
        <f t="shared" si="10"/>
        <v>238.70279283082303</v>
      </c>
      <c r="K25" s="461">
        <f t="shared" si="11"/>
        <v>0</v>
      </c>
      <c r="L25" s="461">
        <f t="shared" si="12"/>
        <v>0</v>
      </c>
      <c r="M25" s="461">
        <f t="shared" si="13"/>
        <v>0</v>
      </c>
      <c r="N25" s="461">
        <f t="shared" si="14"/>
        <v>0</v>
      </c>
      <c r="O25" s="461">
        <f t="shared" si="15"/>
        <v>0</v>
      </c>
      <c r="P25" s="462">
        <f t="shared" si="16"/>
        <v>0</v>
      </c>
      <c r="Q25" s="460">
        <f t="shared" ca="1" si="17"/>
        <v>5896.1111246202572</v>
      </c>
    </row>
    <row r="26" spans="1:17">
      <c r="A26" s="460" t="s">
        <v>685</v>
      </c>
      <c r="B26" s="461">
        <f t="shared" ca="1" si="2"/>
        <v>5324.6365020634239</v>
      </c>
      <c r="C26" s="461">
        <f t="shared" ca="1" si="3"/>
        <v>0</v>
      </c>
      <c r="D26" s="461">
        <f t="shared" si="4"/>
        <v>3053.5177180798246</v>
      </c>
      <c r="E26" s="461">
        <f t="shared" si="5"/>
        <v>74.94027881787477</v>
      </c>
      <c r="F26" s="461">
        <f t="shared" si="6"/>
        <v>2331.7462342290123</v>
      </c>
      <c r="G26" s="461">
        <f t="shared" si="7"/>
        <v>0</v>
      </c>
      <c r="H26" s="461">
        <f t="shared" si="8"/>
        <v>0</v>
      </c>
      <c r="I26" s="461">
        <f t="shared" si="9"/>
        <v>0</v>
      </c>
      <c r="J26" s="461">
        <f t="shared" si="10"/>
        <v>43.048952297890523</v>
      </c>
      <c r="K26" s="461">
        <f t="shared" si="11"/>
        <v>0</v>
      </c>
      <c r="L26" s="461">
        <f t="shared" si="12"/>
        <v>0</v>
      </c>
      <c r="M26" s="461">
        <f t="shared" si="13"/>
        <v>0</v>
      </c>
      <c r="N26" s="461">
        <f t="shared" si="14"/>
        <v>0</v>
      </c>
      <c r="O26" s="461">
        <f t="shared" si="15"/>
        <v>0</v>
      </c>
      <c r="P26" s="462">
        <f t="shared" si="16"/>
        <v>0</v>
      </c>
      <c r="Q26" s="460">
        <f t="shared" ca="1" si="17"/>
        <v>10827.889685488026</v>
      </c>
    </row>
    <row r="27" spans="1:17" s="466" customFormat="1">
      <c r="A27" s="464" t="s">
        <v>579</v>
      </c>
      <c r="B27" s="772">
        <f t="shared" ca="1" si="2"/>
        <v>0.78877491345947803</v>
      </c>
      <c r="C27" s="465">
        <f t="shared" ca="1" si="3"/>
        <v>0</v>
      </c>
      <c r="D27" s="465">
        <f t="shared" si="4"/>
        <v>2.8751812267233796</v>
      </c>
      <c r="E27" s="465">
        <f t="shared" si="5"/>
        <v>188.75527113464463</v>
      </c>
      <c r="F27" s="465">
        <f t="shared" si="6"/>
        <v>0</v>
      </c>
      <c r="G27" s="465">
        <f t="shared" si="7"/>
        <v>48626.9836253916</v>
      </c>
      <c r="H27" s="465">
        <f t="shared" si="8"/>
        <v>7882.6710707824423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56702.073923448872</v>
      </c>
    </row>
    <row r="28" spans="1:17">
      <c r="A28" s="460" t="s">
        <v>569</v>
      </c>
      <c r="B28" s="461">
        <f t="shared" ca="1" si="2"/>
        <v>0</v>
      </c>
      <c r="C28" s="461">
        <f t="shared" ca="1" si="3"/>
        <v>0</v>
      </c>
      <c r="D28" s="461">
        <f t="shared" si="4"/>
        <v>0</v>
      </c>
      <c r="E28" s="461">
        <f t="shared" si="5"/>
        <v>0</v>
      </c>
      <c r="F28" s="461">
        <f t="shared" si="6"/>
        <v>0</v>
      </c>
      <c r="G28" s="461">
        <f t="shared" si="7"/>
        <v>407.7522806952968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407.7522806952968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263.01948799659226</v>
      </c>
      <c r="C32" s="461">
        <f t="shared" ca="1" si="3"/>
        <v>0</v>
      </c>
      <c r="D32" s="461">
        <f t="shared" si="4"/>
        <v>641.09840749105592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904.11789548764818</v>
      </c>
    </row>
    <row r="33" spans="1:17" s="473" customFormat="1">
      <c r="A33" s="470" t="s">
        <v>573</v>
      </c>
      <c r="B33" s="471">
        <f ca="1">SUM(B22:B32)</f>
        <v>17429.651574161209</v>
      </c>
      <c r="C33" s="471">
        <f t="shared" ref="C33:Q33" ca="1" si="18">SUM(C22:C32)</f>
        <v>0</v>
      </c>
      <c r="D33" s="471">
        <f t="shared" ca="1" si="18"/>
        <v>28250.915167549421</v>
      </c>
      <c r="E33" s="471">
        <f t="shared" si="18"/>
        <v>2908.3183007528378</v>
      </c>
      <c r="F33" s="471">
        <f t="shared" ca="1" si="18"/>
        <v>14127.309817389931</v>
      </c>
      <c r="G33" s="471">
        <f t="shared" si="18"/>
        <v>49034.735906086898</v>
      </c>
      <c r="H33" s="471">
        <f t="shared" si="18"/>
        <v>7882.6710707824423</v>
      </c>
      <c r="I33" s="471">
        <f t="shared" si="18"/>
        <v>0</v>
      </c>
      <c r="J33" s="471">
        <f t="shared" si="18"/>
        <v>1920.5645351636106</v>
      </c>
      <c r="K33" s="471">
        <f t="shared" si="18"/>
        <v>0</v>
      </c>
      <c r="L33" s="471">
        <f t="shared" ca="1" si="18"/>
        <v>0</v>
      </c>
      <c r="M33" s="471">
        <f t="shared" si="18"/>
        <v>0</v>
      </c>
      <c r="N33" s="471">
        <f t="shared" ca="1" si="18"/>
        <v>0</v>
      </c>
      <c r="O33" s="471">
        <f t="shared" si="18"/>
        <v>0</v>
      </c>
      <c r="P33" s="471">
        <f t="shared" si="18"/>
        <v>0</v>
      </c>
      <c r="Q33" s="471">
        <f t="shared" ca="1" si="18"/>
        <v>121554.16637188636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26653.028448561028</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5969.9324909808029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43.649999999999991</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51.35294117647058</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32666.610939541832</v>
      </c>
      <c r="C10" s="1041">
        <f>SUM(C4:C9)</f>
        <v>0</v>
      </c>
      <c r="D10" s="1041">
        <f t="shared" ref="D10:H10" si="0">SUM(D8:D9)</f>
        <v>0</v>
      </c>
      <c r="E10" s="1041">
        <f t="shared" si="0"/>
        <v>0</v>
      </c>
      <c r="F10" s="1041">
        <f t="shared" si="0"/>
        <v>0</v>
      </c>
      <c r="G10" s="1041">
        <f t="shared" si="0"/>
        <v>0</v>
      </c>
      <c r="H10" s="1041">
        <f t="shared" si="0"/>
        <v>0</v>
      </c>
      <c r="I10" s="1041">
        <f>SUM(I8:I9)</f>
        <v>0</v>
      </c>
      <c r="J10" s="1041">
        <f>SUM(J8:J9)</f>
        <v>51.35294117647058</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0.15627235510704685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62.357142857142847</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73.361344537815114</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62.357142857142847</v>
      </c>
      <c r="C20" s="1041">
        <f>SUM(C17:C19)</f>
        <v>0</v>
      </c>
      <c r="D20" s="1041">
        <f t="shared" ref="D20:H20" si="2">SUM(D17:D19)</f>
        <v>0</v>
      </c>
      <c r="E20" s="1041">
        <f t="shared" si="2"/>
        <v>0</v>
      </c>
      <c r="F20" s="1041">
        <f t="shared" si="2"/>
        <v>0</v>
      </c>
      <c r="G20" s="1041">
        <f t="shared" si="2"/>
        <v>0</v>
      </c>
      <c r="H20" s="1041">
        <f t="shared" si="2"/>
        <v>0</v>
      </c>
      <c r="I20" s="1041">
        <f>SUM(I17:I19)</f>
        <v>0</v>
      </c>
      <c r="J20" s="1041">
        <f>SUM(J17:J19)</f>
        <v>73.361344537815114</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0.15627235510704685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2019-08-12T07:55:30Z</dcterms:modified>
</cp:coreProperties>
</file>