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<sst xmlns="http://schemas.openxmlformats.org/spreadsheetml/2006/main" count="2495" uniqueCount="955">
  <si>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</si>
  <si>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</si>
  <si>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</si>
  <si>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</si>
  <si>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</si>
  <si>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</si>
  <si>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</si>
  <si>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</si>
  <si>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</si>
  <si>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</si>
  <si>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</si>
  <si>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</si>
  <si>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</si>
  <si>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</si>
  <si>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</si>
  <si>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</si>
  <si>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</si>
  <si>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</si>
  <si>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</si>
  <si>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</si>
  <si>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</si>
  <si>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</si>
  <si>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</si>
  <si>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</si>
  <si>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</si>
  <si>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</si>
  <si>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</si>
  <si>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</si>
  <si>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</si>
  <si>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</si>
  <si>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</si>
  <si>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</si>
  <si>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</si>
  <si>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</si>
  <si>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</si>
  <si>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</si>
  <si>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</si>
  <si>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</si>
  <si>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</si>
  <si>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</si>
  <si>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</si>
  <si>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</si>
  <si>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</si>
  <si>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</si>
  <si>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</si>
  <si>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</si>
  <si>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</si>
  <si>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</si>
  <si>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</si>
  <si>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</si>
  <si>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</si>
  <si>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</si>
  <si>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</si>
  <si>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</si>
  <si>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</si>
  <si>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</si>
  <si>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</si>
  <si>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</si>
  <si>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</si>
  <si>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</si>
  <si>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</si>
  <si>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</si>
  <si>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</si>
  <si>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</si>
  <si>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</si>
  <si>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</si>
  <si>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</si>
  <si>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</si>
  <si>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</si>
  <si>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</si>
  <si>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</si>
  <si>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</si>
  <si>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</si>
  <si>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</si>
  <si>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</si>
  <si>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</si>
  <si>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</si>
  <si>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</si>
  <si>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</si>
  <si>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</si>
  <si>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</si>
  <si>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</si>
  <si>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</si>
  <si>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</si>
  <si>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</si>
  <si>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</si>
  <si>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</si>
  <si>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</si>
  <si>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</si>
  <si>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</si>
  <si>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</si>
  <si>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</si>
  <si>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</si>
  <si>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</si>
  <si>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</si>
  <si>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</si>
  <si>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</si>
  <si>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</si>
  <si>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</si>
  <si>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</si>
  <si>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</si>
  <si>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</si>
  <si>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</si>
  <si>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</si>
  <si>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</si>
  <si>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</si>
  <si>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</si>
  <si>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</si>
  <si>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</si>
  <si>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</si>
  <si>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</si>
  <si>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</si>
  <si>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</si>
  <si>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</si>
  <si>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</si>
  <si>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</si>
  <si>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</si>
  <si>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</si>
  <si>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</si>
  <si>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</si>
  <si>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</si>
  <si>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</si>
  <si>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</si>
  <si>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</si>
  <si>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</si>
  <si>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</si>
  <si>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</si>
  <si>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</si>
  <si>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</si>
  <si>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</si>
  <si>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</si>
  <si>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</si>
  <si>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</si>
  <si>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</si>
  <si>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</si>
  <si>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</si>
  <si>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</si>
  <si>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</si>
  <si>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</si>
  <si>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</si>
  <si>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</si>
  <si>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</si>
  <si>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</si>
  <si>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</si>
  <si>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</si>
  <si>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</si>
  <si>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</si>
  <si>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</si>
  <si>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</si>
  <si>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</si>
  <si>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</si>
  <si>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</si>
  <si>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</si>
  <si>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</si>
  <si>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</si>
  <si>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</si>
  <si>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</si>
  <si>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</si>
  <si>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</si>
  <si>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</si>
  <si>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</si>
  <si>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</si>
  <si>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</si>
  <si>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</si>
  <si>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</si>
  <si>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</si>
  <si>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</si>
  <si>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</si>
  <si>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</si>
  <si>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</si>
  <si>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</si>
  <si>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</si>
  <si>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</si>
  <si>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</si>
  <si>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</si>
  <si>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</si>
  <si>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</si>
  <si>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</si>
  <si>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</si>
  <si>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</si>
  <si>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</si>
  <si>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</si>
  <si>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</si>
  <si>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</si>
  <si>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</si>
  <si>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</si>
  <si>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</si>
  <si>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</si>
  <si>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</si>
  <si>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</si>
  <si>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</si>
  <si>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</si>
  <si>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</si>
  <si>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</si>
  <si>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</si>
  <si>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</si>
  <si>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</si>
  <si>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</si>
  <si>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</si>
  <si>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</si>
  <si>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</si>
  <si>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</si>
  <si>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</si>
  <si>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</si>
  <si>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</si>
  <si>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</si>
  <si>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</si>
  <si>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</si>
  <si>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</si>
  <si>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</si>
  <si>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</si>
  <si>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</si>
  <si>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</si>
  <si>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</si>
  <si>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</si>
  <si>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</si>
  <si>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</si>
  <si>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</si>
  <si>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</si>
  <si>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</si>
  <si>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</si>
  <si>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</si>
  <si>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</si>
  <si>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</si>
  <si>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</si>
  <si>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</si>
  <si>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</si>
  <si>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</si>
  <si>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</si>
  <si>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</si>
  <si>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</si>
  <si>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</si>
  <si>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</si>
  <si>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</si>
  <si>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</si>
  <si>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</si>
  <si>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</si>
  <si>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</si>
  <si>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</si>
  <si>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</si>
  <si>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</si>
  <si>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</si>
  <si>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</si>
  <si>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</si>
  <si>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</si>
  <si>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</si>
  <si>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</si>
  <si>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</si>
  <si>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</si>
  <si>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</si>
  <si>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</si>
  <si>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</si>
  <si>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</si>
  <si>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</si>
  <si>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</si>
  <si>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</si>
  <si>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</si>
  <si>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</si>
  <si>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</si>
  <si>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</si>
  <si>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</si>
  <si>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</si>
  <si>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</si>
  <si>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</si>
  <si>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</si>
  <si>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</si>
  <si>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</si>
  <si>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</si>
  <si>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</si>
  <si>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</si>
  <si>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</si>
  <si>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</si>
  <si>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</si>
  <si>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</si>
  <si>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</si>
  <si>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</si>
  <si>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</si>
  <si>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</si>
  <si>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</si>
  <si>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</si>
  <si>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</si>
  <si>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</si>
  <si>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</si>
  <si>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</si>
  <si>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</si>
  <si>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</si>
  <si>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</si>
  <si>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</si>
  <si>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</si>
  <si>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</si>
  <si>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</si>
  <si>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</si>
  <si>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</si>
  <si>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</si>
  <si>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</si>
  <si>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</si>
  <si>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</si>
  <si>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</si>
  <si>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</si>
  <si>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</si>
  <si>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</si>
  <si>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</si>
  <si>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</si>
  <si>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</si>
  <si>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</si>
  <si>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</si>
  <si>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</si>
  <si>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</si>
  <si>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</si>
  <si>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</si>
  <si>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</si>
  <si>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</si>
  <si>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</si>
  <si>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</si>
  <si>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</si>
  <si>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</si>
  <si>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</si>
  <si>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</si>
  <si>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</si>
  <si>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</si>
  <si>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</si>
  <si>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</si>
  <si>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</si>
  <si>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</si>
  <si>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</si>
  <si>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</si>
  <si>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</si>
  <si>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</si>
  <si>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</si>
  <si>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</si>
  <si>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</si>
  <si>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</si>
  <si>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</si>
  <si>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</si>
  <si>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</si>
  <si>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</si>
  <si>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</si>
  <si>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</si>
  <si>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</si>
  <si>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</si>
  <si>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</si>
  <si>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</si>
  <si>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</si>
  <si>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</si>
  <si>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</si>
  <si>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</si>
  <si>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</si>
  <si>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</si>
  <si>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</si>
  <si>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</si>
  <si>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</si>
  <si>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</si>
  <si>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</si>
  <si>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</si>
  <si>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</si>
  <si>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</si>
  <si>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</si>
  <si>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</si>
  <si>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</si>
  <si>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</si>
  <si>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</si>
  <si>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</si>
  <si>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</si>
  <si>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</si>
  <si>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</si>
  <si>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</si>
  <si>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</si>
  <si>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</si>
  <si>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</si>
  <si>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</si>
  <si>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</si>
  <si>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</si>
  <si>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</si>
  <si>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</si>
  <si>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</si>
  <si>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</si>
  <si>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</si>
  <si>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</si>
  <si>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</si>
  <si>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</si>
  <si>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</si>
  <si>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</si>
  <si>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</si>
  <si>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</si>
  <si>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</si>
  <si>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</si>
  <si>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</si>
  <si>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</si>
  <si>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</si>
  <si>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</si>
  <si>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</si>
  <si>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</si>
  <si>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</si>
  <si>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</si>
  <si>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</si>
  <si>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</si>
  <si>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</si>
  <si>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</si>
  <si>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</si>
  <si>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</si>
  <si>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</si>
  <si>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</si>
  <si>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</si>
  <si>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</si>
  <si>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</si>
  <si>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</si>
  <si>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</si>
  <si>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</si>
  <si>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</si>
  <si>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</si>
  <si>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</si>
  <si>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</si>
  <si>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</si>
  <si>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</si>
  <si>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</si>
  <si>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</si>
  <si>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</si>
  <si>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</si>
  <si>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</si>
  <si>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</si>
  <si>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</si>
  <si>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</si>
  <si>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</si>
  <si>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</si>
  <si>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</si>
  <si>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</si>
  <si>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</si>
  <si>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</si>
  <si>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</si>
  <si>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</si>
  <si>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</si>
  <si>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</si>
  <si>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</si>
  <si>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</si>
  <si>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</si>
  <si>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</si>
  <si>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</si>
  <si>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</si>
  <si>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</si>
  <si>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</si>
  <si>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</si>
  <si>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</si>
  <si>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</si>
  <si>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</si>
  <si>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</si>
  <si>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</si>
  <si>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</si>
  <si>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</si>
  <si>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</si>
  <si>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</si>
  <si>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</si>
  <si>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</si>
  <si>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</si>
  <si>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</si>
  <si>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</si>
  <si>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</si>
  <si>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</si>
  <si>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</si>
  <si>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</si>
  <si>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</si>
  <si>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</si>
  <si>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</si>
  <si>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</si>
  <si>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</si>
  <si>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</si>
  <si>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</si>
  <si>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</si>
  <si>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</si>
  <si>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</si>
  <si>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</si>
  <si>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</si>
  <si>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</si>
  <si>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</si>
  <si>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</si>
  <si>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</si>
  <si>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</si>
  <si>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</si>
  <si>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</si>
  <si>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</si>
  <si>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</si>
  <si>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</si>
  <si>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</si>
  <si>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</si>
  <si>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</si>
  <si>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</si>
  <si>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</si>
  <si>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</si>
  <si>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</si>
  <si>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</si>
  <si>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</si>
  <si>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</si>
  <si>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</si>
  <si>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</si>
  <si>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</si>
  <si>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</si>
  <si>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</si>
  <si>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</si>
  <si>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</si>
  <si>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</si>
  <si>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</si>
  <si>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</si>
  <si>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</si>
  <si>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</si>
  <si>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</si>
  <si>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</si>
  <si>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</si>
  <si>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</si>
  <si>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</si>
  <si>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</si>
  <si>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</si>
  <si>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</si>
  <si>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</si>
  <si>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</si>
  <si>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</si>
  <si>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</si>
  <si>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</si>
  <si>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</si>
  <si>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</si>
  <si>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</si>
  <si>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</si>
  <si>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</si>
  <si>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</si>
  <si>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</si>
  <si>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</si>
  <si>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</si>
  <si>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</si>
  <si>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</si>
  <si>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</si>
  <si>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</si>
  <si>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</si>
  <si>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</si>
  <si>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</si>
  <si>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</si>
  <si>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</si>
  <si>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</si>
  <si>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</si>
  <si>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</si>
  <si>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</si>
  <si>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</si>
  <si>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</si>
  <si>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</si>
  <si>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</si>
  <si>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</si>
  <si>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</si>
  <si>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</si>
  <si>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</si>
  <si>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</si>
  <si>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</si>
  <si>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</si>
  <si>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</si>
  <si>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</si>
  <si>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</si>
  <si>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</si>
  <si>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</si>
  <si>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</si>
  <si>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</si>
  <si>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</si>
  <si>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</si>
  <si>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</si>
  <si>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</si>
  <si>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</si>
  <si>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</si>
  <si>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</si>
  <si>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</si>
  <si>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</si>
  <si>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</si>
  <si>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</si>
  <si>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</si>
  <si>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</si>
  <si>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</si>
  <si>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</si>
  <si>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</si>
  <si>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</si>
  <si>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</si>
  <si>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</si>
  <si>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</si>
  <si>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</si>
  <si>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</si>
  <si>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</si>
  <si>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</si>
  <si>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</si>
  <si>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</si>
  <si>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</si>
  <si>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</si>
  <si>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</si>
  <si>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</si>
  <si>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</si>
  <si>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</si>
  <si>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</si>
  <si>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</si>
  <si>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</si>
  <si>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</si>
  <si>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</si>
  <si>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</si>
  <si>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</si>
  <si>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</si>
  <si>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</si>
  <si>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</si>
  <si>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</si>
  <si>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</si>
  <si>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</si>
  <si>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</si>
  <si>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</si>
  <si>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</si>
  <si>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</si>
  <si>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</si>
  <si>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</si>
  <si>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</si>
  <si>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</si>
  <si>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</si>
  <si>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</si>
  <si>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</si>
  <si>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</si>
  <si>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</si>
  <si>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</si>
  <si>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</si>
  <si>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</si>
  <si>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</si>
  <si>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</si>
  <si>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</si>
  <si>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</si>
  <si>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</si>
  <si>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</si>
  <si>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</si>
  <si>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</si>
  <si>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</si>
  <si>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</si>
  <si>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</si>
  <si>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</si>
  <si>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</si>
  <si>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</si>
  <si>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</si>
  <si>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</si>
  <si>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</si>
  <si>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</si>
  <si>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</si>
  <si>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</si>
  <si>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</si>
  <si>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</si>
  <si>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</si>
  <si>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</si>
  <si>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</si>
  <si>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</si>
  <si>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</si>
  <si>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</si>
  <si>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</si>
  <si>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</si>
  <si>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</si>
  <si>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</si>
  <si>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</si>
  <si>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</si>
  <si>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</si>
  <si>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</si>
  <si>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</si>
  <si>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</si>
  <si>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</si>
  <si>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</si>
  <si>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</si>
  <si>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</si>
  <si>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</si>
  <si>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</si>
  <si>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</si>
  <si>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</si>
  <si>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</si>
  <si>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</si>
  <si>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</si>
  <si>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</si>
  <si>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</si>
  <si>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</si>
  <si>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</si>
  <si>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</si>
  <si>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</si>
  <si>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</si>
  <si>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</si>
  <si>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</si>
  <si>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</si>
  <si>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</si>
  <si>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</si>
  <si>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</si>
  <si>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</si>
  <si>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</si>
  <si>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</si>
  <si>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</si>
  <si>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</si>
  <si>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</si>
  <si>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</si>
  <si>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</si>
  <si>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</si>
  <si>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</si>
  <si>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</si>
  <si>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</si>
  <si>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</si>
  <si>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</si>
  <si>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</si>
  <si>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</si>
  <si>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</si>
  <si>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</si>
  <si>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</si>
  <si>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</si>
  <si>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</si>
  <si>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</si>
  <si>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</si>
  <si>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</si>
  <si>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</si>
  <si>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</si>
  <si>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</si>
  <si>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</si>
  <si>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</si>
  <si>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</si>
  <si>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</si>
  <si>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</si>
  <si>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</si>
  <si>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</si>
  <si>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</si>
  <si>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</si>
  <si>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</si>
  <si>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</si>
  <si>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</si>
  <si>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</si>
  <si>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</si>
  <si>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</si>
  <si>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</si>
  <si>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</si>
  <si>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</si>
  <si>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</si>
  <si>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</si>
  <si>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</si>
  <si>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</si>
  <si>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</si>
  <si>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</si>
  <si>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</si>
  <si>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</si>
  <si>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</si>
  <si>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</si>
  <si>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</si>
  <si>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</si>
  <si>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</si>
  <si>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</si>
  <si>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</si>
  <si>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</si>
  <si>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</si>
  <si>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</si>
  <si>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</si>
  <si>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</si>
  <si>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</si>
  <si>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</si>
  <si>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</si>
  <si>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</si>
  <si>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</si>
  <si>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</si>
  <si>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</si>
  <si>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</si>
  <si>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</si>
  <si>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</si>
  <si>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</si>
  <si>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</si>
  <si>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</si>
  <si>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</si>
  <si>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</si>
  <si>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</si>
  <si>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</si>
  <si>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</si>
  <si>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</si>
  <si>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</si>
  <si>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</si>
  <si>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</si>
  <si>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</si>
  <si>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</si>
  <si>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</si>
  <si>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</si>
  <si>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</si>
  <si>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</si>
  <si>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</si>
  <si>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</si>
  <si>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</si>
  <si>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</si>
  <si>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</si>
  <si>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</si>
  <si>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</si>
  <si>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</si>
  <si>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</si>
  <si>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</si>
  <si>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</si>
  <si>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</si>
  <si>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</si>
  <si>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</si>
  <si>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</si>
  <si>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</si>
  <si>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</si>
  <si>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</si>
  <si>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</si>
  <si>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</si>
  <si>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</si>
  <si>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</si>
  <si>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</si>
  <si>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</si>
  <si>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</si>
  <si>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</si>
  <si>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</si>
  <si>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</si>
  <si>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</si>
  <si>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</si>
  <si>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</si>
  <si>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</si>
  <si>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</si>
  <si>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</si>
  <si>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</si>
  <si>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</si>
  <si>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</si>
  <si>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</si>
  <si>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</si>
  <si>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</si>
  <si>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</si>
  <si>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</si>
  <si>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</si>
  <si>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</si>
  <si>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</si>
  <si>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</si>
  <si>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</si>
  <si>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</si>
  <si>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</si>
  <si>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</si>
  <si>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</si>
  <si>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</si>
  <si>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</si>
  <si>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</si>
  <si>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</si>
  <si>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</si>
  <si>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</si>
  <si>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</si>
  <si>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</si>
  <si>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</si>
  <si>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</si>
  <si>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</si>
  <si>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</si>
  <si>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</si>
  <si>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</si>
  <si>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</si>
  <si>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</si>
  <si>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</si>
  <si>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</si>
  <si>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</si>
  <si>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</si>
  <si>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</si>
  <si>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</si>
  <si>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</si>
  <si>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</si>
  <si>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</si>
  <si>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</si>
  <si>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</si>
  <si>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</si>
  <si>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</si>
  <si>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</si>
  <si>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</si>
  <si>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</si>
  <si>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</si>
  <si>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</si>
  <si>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</si>
  <si>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</si>
  <si>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</si>
  <si>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</si>
  <si>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</si>
  <si>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</si>
  <si>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</si>
  <si>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</si>
  <si>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</si>
  <si>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</si>
  <si>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</si>
  <si>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</si>
  <si>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</si>
  <si>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</si>
  <si>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</si>
  <si>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</si>
  <si>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</si>
  <si>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</si>
  <si>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</si>
  <si>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</si>
  <si>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</si>
  <si>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</si>
  <si>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</si>
  <si>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</si>
  <si>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</si>
  <si>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</si>
  <si>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</si>
  <si>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</si>
  <si>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</si>
  <si>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</si>
  <si>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</si>
  <si>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</si>
  <si>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</si>
  <si>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</si>
  <si>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</si>
  <si>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</si>
  <si>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</si>
  <si>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</si>
  <si>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</si>
  <si>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</si>
  <si>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</si>
  <si>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</si>
  <si>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</si>
  <si>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</si>
  <si>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</si>
  <si>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</si>
  <si>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</si>
  <si>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</si>
  <si>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</si>
  <si>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</si>
  <si>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</si>
  <si>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</si>
  <si>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</si>
  <si>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</si>
  <si>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</si>
  <si>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</si>
  <si>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</si>
  <si>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</si>
  <si>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</si>
  <si>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</si>
  <si>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</si>
  <si>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</si>
  <si>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</si>
  <si>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</si>
  <si>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</si>
  <si>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</si>
  <si>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</si>
  <si>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</si>
  <si>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</si>
  <si>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</si>
  <si>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</si>
  <si>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</si>
  <si>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</si>
  <si>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</si>
  <si>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</si>
  <si>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</si>
  <si>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</si>
  <si>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</si>
  <si>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</si>
  <si>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</si>
  <si>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</si>
  <si>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</si>
  <si>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</si>
  <si>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</si>
  <si>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</si>
  <si>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43005</t>
  </si>
  <si>
    <t>EEKLO</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</si>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</sst>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43005</v>
      </c>
      <c r="B6" s="397"/>
      <c r="C6" s="398"/>
    </row>
    <row r="7" spans="1:7" s="395" customFormat="1" ht="15.75" customHeight="1">
      <c r="A7" s="399" t="str">
        <f>txtMunicipality</f>
        <v>EEKLO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36283.06121077446</v>
      </c>
      <c r="D10" s="688">
        <f ca="1">tertiair!C16</f>
        <v>0</v>
      </c>
      <c r="E10" s="688">
        <f ca="1">tertiair!D16</f>
        <v>43756.247112310841</v>
      </c>
      <c r="F10" s="688">
        <f>tertiair!E16</f>
        <v>271.67380045377007</v>
      </c>
      <c r="G10" s="688">
        <f ca="1">tertiair!F16</f>
        <v>7924.7422537501434</v>
      </c>
      <c r="H10" s="688">
        <f>tertiair!G16</f>
        <v>0</v>
      </c>
      <c r="I10" s="688">
        <f>tertiair!H16</f>
        <v>0</v>
      </c>
      <c r="J10" s="688">
        <f>tertiair!I16</f>
        <v>0</v>
      </c>
      <c r="K10" s="688">
        <f>tertiair!J16</f>
        <v>0</v>
      </c>
      <c r="L10" s="688">
        <f>tertiair!K16</f>
        <v>0</v>
      </c>
      <c r="M10" s="688">
        <f ca="1">tertiair!L16</f>
        <v>0</v>
      </c>
      <c r="N10" s="688">
        <f>tertiair!M16</f>
        <v>0</v>
      </c>
      <c r="O10" s="688">
        <f ca="1">tertiair!N16</f>
        <v>2999.9809058670662</v>
      </c>
      <c r="P10" s="688">
        <f>tertiair!O16</f>
        <v>0</v>
      </c>
      <c r="Q10" s="689">
        <f>tertiair!P16</f>
        <v>0</v>
      </c>
      <c r="R10" s="691">
        <f ca="1">SUM(C10:Q10)</f>
        <v>91235.705283156291</v>
      </c>
      <c r="S10" s="68"/>
    </row>
    <row r="11" spans="1:19" s="457" customFormat="1">
      <c r="A11" s="803" t="s">
        <v>225</v>
      </c>
      <c r="B11" s="808"/>
      <c r="C11" s="688">
        <f>huishoudens!B8</f>
        <v>37238.475173104889</v>
      </c>
      <c r="D11" s="688">
        <f>huishoudens!C8</f>
        <v>0</v>
      </c>
      <c r="E11" s="688">
        <f>huishoudens!D8</f>
        <v>98917.907918589903</v>
      </c>
      <c r="F11" s="688">
        <f>huishoudens!E8</f>
        <v>4078.0476497055915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11685.558344745747</v>
      </c>
      <c r="P11" s="688">
        <f>huishoudens!O8</f>
        <v>65.660000000000011</v>
      </c>
      <c r="Q11" s="689">
        <f>huishoudens!P8</f>
        <v>286</v>
      </c>
      <c r="R11" s="691">
        <f>SUM(C11:Q11)</f>
        <v>152271.64908614612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49954.726884434276</v>
      </c>
      <c r="D13" s="688">
        <f>industrie!C18</f>
        <v>0</v>
      </c>
      <c r="E13" s="688">
        <f>industrie!D18</f>
        <v>21447.977856525751</v>
      </c>
      <c r="F13" s="688">
        <f>industrie!E18</f>
        <v>1048.2635748233367</v>
      </c>
      <c r="G13" s="688">
        <f>industrie!F18</f>
        <v>10405.858569243297</v>
      </c>
      <c r="H13" s="688">
        <f>industrie!G18</f>
        <v>0</v>
      </c>
      <c r="I13" s="688">
        <f>industrie!H18</f>
        <v>0</v>
      </c>
      <c r="J13" s="688">
        <f>industrie!I18</f>
        <v>0</v>
      </c>
      <c r="K13" s="688">
        <f>industrie!J18</f>
        <v>160.03722764047274</v>
      </c>
      <c r="L13" s="688">
        <f>industrie!K18</f>
        <v>0</v>
      </c>
      <c r="M13" s="688">
        <f>industrie!L18</f>
        <v>0</v>
      </c>
      <c r="N13" s="688">
        <f>industrie!M18</f>
        <v>0</v>
      </c>
      <c r="O13" s="688">
        <f>industrie!N18</f>
        <v>9704.8317154457854</v>
      </c>
      <c r="P13" s="688">
        <f>industrie!O18</f>
        <v>0</v>
      </c>
      <c r="Q13" s="689">
        <f>industrie!P18</f>
        <v>0</v>
      </c>
      <c r="R13" s="691">
        <f>SUM(C13:Q13)</f>
        <v>92721.695828112919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123476.26326831362</v>
      </c>
      <c r="D16" s="721">
        <f t="shared" ref="D16:R16" ca="1" si="0">SUM(D9:D15)</f>
        <v>0</v>
      </c>
      <c r="E16" s="721">
        <f t="shared" ca="1" si="0"/>
        <v>164122.13288742647</v>
      </c>
      <c r="F16" s="721">
        <f t="shared" si="0"/>
        <v>5397.9850249826986</v>
      </c>
      <c r="G16" s="721">
        <f t="shared" ca="1" si="0"/>
        <v>18330.600822993441</v>
      </c>
      <c r="H16" s="721">
        <f t="shared" si="0"/>
        <v>0</v>
      </c>
      <c r="I16" s="721">
        <f t="shared" si="0"/>
        <v>0</v>
      </c>
      <c r="J16" s="721">
        <f t="shared" si="0"/>
        <v>0</v>
      </c>
      <c r="K16" s="721">
        <f t="shared" si="0"/>
        <v>160.03722764047274</v>
      </c>
      <c r="L16" s="721">
        <f t="shared" si="0"/>
        <v>0</v>
      </c>
      <c r="M16" s="721">
        <f t="shared" ca="1" si="0"/>
        <v>0</v>
      </c>
      <c r="N16" s="721">
        <f t="shared" si="0"/>
        <v>0</v>
      </c>
      <c r="O16" s="721">
        <f t="shared" ca="1" si="0"/>
        <v>24390.370966058596</v>
      </c>
      <c r="P16" s="721">
        <f t="shared" si="0"/>
        <v>65.660000000000011</v>
      </c>
      <c r="Q16" s="721">
        <f t="shared" si="0"/>
        <v>286</v>
      </c>
      <c r="R16" s="721">
        <f t="shared" ca="1" si="0"/>
        <v>336229.05019741529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1432.0293525148536</v>
      </c>
      <c r="I19" s="688">
        <f>transport!H54</f>
        <v>0</v>
      </c>
      <c r="J19" s="688">
        <f>transport!I54</f>
        <v>0</v>
      </c>
      <c r="K19" s="688">
        <f>transport!J54</f>
        <v>0</v>
      </c>
      <c r="L19" s="688">
        <f>transport!K54</f>
        <v>0</v>
      </c>
      <c r="M19" s="688">
        <f>transport!L54</f>
        <v>0</v>
      </c>
      <c r="N19" s="688">
        <f>transport!M54</f>
        <v>62.882771149107391</v>
      </c>
      <c r="O19" s="688">
        <f>transport!N54</f>
        <v>0</v>
      </c>
      <c r="P19" s="688">
        <f>transport!O54</f>
        <v>0</v>
      </c>
      <c r="Q19" s="689">
        <f>transport!P54</f>
        <v>0</v>
      </c>
      <c r="R19" s="691">
        <f>SUM(C19:Q19)</f>
        <v>1494.912123663961</v>
      </c>
      <c r="S19" s="68"/>
    </row>
    <row r="20" spans="1:19" s="457" customFormat="1">
      <c r="A20" s="803" t="s">
        <v>307</v>
      </c>
      <c r="B20" s="808"/>
      <c r="C20" s="688">
        <f>transport!B14</f>
        <v>2.2333623914004037</v>
      </c>
      <c r="D20" s="688">
        <f>transport!C14</f>
        <v>0</v>
      </c>
      <c r="E20" s="688">
        <f>transport!D14</f>
        <v>6.0745644539880592</v>
      </c>
      <c r="F20" s="688">
        <f>transport!E14</f>
        <v>353.20359107522876</v>
      </c>
      <c r="G20" s="688">
        <f>transport!F14</f>
        <v>0</v>
      </c>
      <c r="H20" s="688">
        <f>transport!G14</f>
        <v>92067.727178000583</v>
      </c>
      <c r="I20" s="688">
        <f>transport!H14</f>
        <v>13524.40343909689</v>
      </c>
      <c r="J20" s="688">
        <f>transport!I14</f>
        <v>0</v>
      </c>
      <c r="K20" s="688">
        <f>transport!J14</f>
        <v>0</v>
      </c>
      <c r="L20" s="688">
        <f>transport!K14</f>
        <v>0</v>
      </c>
      <c r="M20" s="688">
        <f>transport!L14</f>
        <v>0</v>
      </c>
      <c r="N20" s="688">
        <f>transport!M14</f>
        <v>4718.4701315932407</v>
      </c>
      <c r="O20" s="688">
        <f>transport!N14</f>
        <v>0</v>
      </c>
      <c r="P20" s="688">
        <f>transport!O14</f>
        <v>0</v>
      </c>
      <c r="Q20" s="689">
        <f>transport!P14</f>
        <v>0</v>
      </c>
      <c r="R20" s="691">
        <f>SUM(C20:Q20)</f>
        <v>110672.11226661134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2.2333623914004037</v>
      </c>
      <c r="D22" s="806">
        <f t="shared" ref="D22:R22" si="1">SUM(D18:D21)</f>
        <v>0</v>
      </c>
      <c r="E22" s="806">
        <f t="shared" si="1"/>
        <v>6.0745644539880592</v>
      </c>
      <c r="F22" s="806">
        <f t="shared" si="1"/>
        <v>353.20359107522876</v>
      </c>
      <c r="G22" s="806">
        <f t="shared" si="1"/>
        <v>0</v>
      </c>
      <c r="H22" s="806">
        <f t="shared" si="1"/>
        <v>93499.756530515442</v>
      </c>
      <c r="I22" s="806">
        <f t="shared" si="1"/>
        <v>13524.40343909689</v>
      </c>
      <c r="J22" s="806">
        <f t="shared" si="1"/>
        <v>0</v>
      </c>
      <c r="K22" s="806">
        <f t="shared" si="1"/>
        <v>0</v>
      </c>
      <c r="L22" s="806">
        <f t="shared" si="1"/>
        <v>0</v>
      </c>
      <c r="M22" s="806">
        <f t="shared" si="1"/>
        <v>0</v>
      </c>
      <c r="N22" s="806">
        <f t="shared" si="1"/>
        <v>4781.3529027423483</v>
      </c>
      <c r="O22" s="806">
        <f t="shared" si="1"/>
        <v>0</v>
      </c>
      <c r="P22" s="806">
        <f t="shared" si="1"/>
        <v>0</v>
      </c>
      <c r="Q22" s="806">
        <f t="shared" si="1"/>
        <v>0</v>
      </c>
      <c r="R22" s="806">
        <f t="shared" si="1"/>
        <v>112167.0243902753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2316.5949669778961</v>
      </c>
      <c r="D24" s="688">
        <f>+landbouw!C8</f>
        <v>0</v>
      </c>
      <c r="E24" s="688">
        <f>+landbouw!D8</f>
        <v>241.14401768477612</v>
      </c>
      <c r="F24" s="688">
        <f>+landbouw!E8</f>
        <v>21.823876758475627</v>
      </c>
      <c r="G24" s="688">
        <f>+landbouw!F8</f>
        <v>7559.8181875989821</v>
      </c>
      <c r="H24" s="688">
        <f>+landbouw!G8</f>
        <v>0</v>
      </c>
      <c r="I24" s="688">
        <f>+landbouw!H8</f>
        <v>0</v>
      </c>
      <c r="J24" s="688">
        <f>+landbouw!I8</f>
        <v>0</v>
      </c>
      <c r="K24" s="688">
        <f>+landbouw!J8</f>
        <v>286.57406533092069</v>
      </c>
      <c r="L24" s="688">
        <f>+landbouw!K8</f>
        <v>0</v>
      </c>
      <c r="M24" s="688">
        <f>+landbouw!L8</f>
        <v>0</v>
      </c>
      <c r="N24" s="688">
        <f>+landbouw!M8</f>
        <v>0</v>
      </c>
      <c r="O24" s="688">
        <f>+landbouw!N8</f>
        <v>0</v>
      </c>
      <c r="P24" s="688">
        <f>+landbouw!O8</f>
        <v>0</v>
      </c>
      <c r="Q24" s="689">
        <f>+landbouw!P8</f>
        <v>0</v>
      </c>
      <c r="R24" s="691">
        <f>SUM(C24:Q24)</f>
        <v>10425.955114351051</v>
      </c>
      <c r="S24" s="68"/>
    </row>
    <row r="25" spans="1:19" s="457" customFormat="1" ht="15" thickBot="1">
      <c r="A25" s="825" t="s">
        <v>912</v>
      </c>
      <c r="B25" s="1001"/>
      <c r="C25" s="1002">
        <f>IF(Onbekend_ele_kWh="---",0,Onbekend_ele_kWh)/1000+IF(REST_rest_ele_kWh="---",0,REST_rest_ele_kWh)/1000</f>
        <v>1678.13840931502</v>
      </c>
      <c r="D25" s="1002"/>
      <c r="E25" s="1002">
        <f>IF(onbekend_gas_kWh="---",0,onbekend_gas_kWh)/1000+IF(REST_rest_gas_kWh="---",0,REST_rest_gas_kWh)/1000</f>
        <v>8820.0932230823691</v>
      </c>
      <c r="F25" s="1002"/>
      <c r="G25" s="1002"/>
      <c r="H25" s="1002"/>
      <c r="I25" s="1002"/>
      <c r="J25" s="1002"/>
      <c r="K25" s="1002"/>
      <c r="L25" s="1002"/>
      <c r="M25" s="1002"/>
      <c r="N25" s="1002"/>
      <c r="O25" s="1002"/>
      <c r="P25" s="1002"/>
      <c r="Q25" s="1003"/>
      <c r="R25" s="691">
        <f>SUM(C25:Q25)</f>
        <v>10498.23163239739</v>
      </c>
      <c r="S25" s="68"/>
    </row>
    <row r="26" spans="1:19" s="457" customFormat="1" ht="15.75" thickBot="1">
      <c r="A26" s="694" t="s">
        <v>913</v>
      </c>
      <c r="B26" s="811"/>
      <c r="C26" s="806">
        <f>SUM(C24:C25)</f>
        <v>3994.7333762929161</v>
      </c>
      <c r="D26" s="806">
        <f t="shared" ref="D26:R26" si="2">SUM(D24:D25)</f>
        <v>0</v>
      </c>
      <c r="E26" s="806">
        <f t="shared" si="2"/>
        <v>9061.2372407671446</v>
      </c>
      <c r="F26" s="806">
        <f t="shared" si="2"/>
        <v>21.823876758475627</v>
      </c>
      <c r="G26" s="806">
        <f t="shared" si="2"/>
        <v>7559.8181875989821</v>
      </c>
      <c r="H26" s="806">
        <f t="shared" si="2"/>
        <v>0</v>
      </c>
      <c r="I26" s="806">
        <f t="shared" si="2"/>
        <v>0</v>
      </c>
      <c r="J26" s="806">
        <f t="shared" si="2"/>
        <v>0</v>
      </c>
      <c r="K26" s="806">
        <f t="shared" si="2"/>
        <v>286.57406533092069</v>
      </c>
      <c r="L26" s="806">
        <f t="shared" si="2"/>
        <v>0</v>
      </c>
      <c r="M26" s="806">
        <f t="shared" si="2"/>
        <v>0</v>
      </c>
      <c r="N26" s="806">
        <f t="shared" si="2"/>
        <v>0</v>
      </c>
      <c r="O26" s="806">
        <f t="shared" si="2"/>
        <v>0</v>
      </c>
      <c r="P26" s="806">
        <f t="shared" si="2"/>
        <v>0</v>
      </c>
      <c r="Q26" s="806">
        <f t="shared" si="2"/>
        <v>0</v>
      </c>
      <c r="R26" s="806">
        <f t="shared" si="2"/>
        <v>20924.186746748441</v>
      </c>
      <c r="S26" s="68"/>
    </row>
    <row r="27" spans="1:19" s="457" customFormat="1" ht="17.25" thickTop="1" thickBot="1">
      <c r="A27" s="695" t="s">
        <v>116</v>
      </c>
      <c r="B27" s="798"/>
      <c r="C27" s="696">
        <f ca="1">C22+C16+C26</f>
        <v>127473.23000699794</v>
      </c>
      <c r="D27" s="696">
        <f t="shared" ref="D27:R27" ca="1" si="3">D22+D16+D26</f>
        <v>0</v>
      </c>
      <c r="E27" s="696">
        <f t="shared" ca="1" si="3"/>
        <v>173189.44469264761</v>
      </c>
      <c r="F27" s="696">
        <f t="shared" si="3"/>
        <v>5773.0124928164023</v>
      </c>
      <c r="G27" s="696">
        <f t="shared" ca="1" si="3"/>
        <v>25890.419010592424</v>
      </c>
      <c r="H27" s="696">
        <f t="shared" si="3"/>
        <v>93499.756530515442</v>
      </c>
      <c r="I27" s="696">
        <f t="shared" si="3"/>
        <v>13524.40343909689</v>
      </c>
      <c r="J27" s="696">
        <f t="shared" si="3"/>
        <v>0</v>
      </c>
      <c r="K27" s="696">
        <f t="shared" si="3"/>
        <v>446.61129297139342</v>
      </c>
      <c r="L27" s="696">
        <f t="shared" si="3"/>
        <v>0</v>
      </c>
      <c r="M27" s="696">
        <f t="shared" ca="1" si="3"/>
        <v>0</v>
      </c>
      <c r="N27" s="696">
        <f t="shared" si="3"/>
        <v>4781.3529027423483</v>
      </c>
      <c r="O27" s="696">
        <f t="shared" ca="1" si="3"/>
        <v>24390.370966058596</v>
      </c>
      <c r="P27" s="696">
        <f t="shared" si="3"/>
        <v>65.660000000000011</v>
      </c>
      <c r="Q27" s="696">
        <f t="shared" si="3"/>
        <v>286</v>
      </c>
      <c r="R27" s="696">
        <f t="shared" ca="1" si="3"/>
        <v>469320.26133443904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6202.1827400928178</v>
      </c>
      <c r="D40" s="688">
        <f ca="1">tertiair!C20</f>
        <v>0</v>
      </c>
      <c r="E40" s="688">
        <f ca="1">tertiair!D20</f>
        <v>8838.7619166867898</v>
      </c>
      <c r="F40" s="688">
        <f>tertiair!E20</f>
        <v>61.669952703005805</v>
      </c>
      <c r="G40" s="688">
        <f ca="1">tertiair!F20</f>
        <v>2115.9061817512884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17218.520791233903</v>
      </c>
    </row>
    <row r="41" spans="1:18">
      <c r="A41" s="816" t="s">
        <v>225</v>
      </c>
      <c r="B41" s="823"/>
      <c r="C41" s="688">
        <f ca="1">huishoudens!B12</f>
        <v>6365.5000509554911</v>
      </c>
      <c r="D41" s="688">
        <f ca="1">huishoudens!C12</f>
        <v>0</v>
      </c>
      <c r="E41" s="688">
        <f>huishoudens!D12</f>
        <v>19981.417399555161</v>
      </c>
      <c r="F41" s="688">
        <f>huishoudens!E12</f>
        <v>925.71681648316928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27272.634266993824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8539.2007876304451</v>
      </c>
      <c r="D43" s="688">
        <f ca="1">industrie!C22</f>
        <v>0</v>
      </c>
      <c r="E43" s="688">
        <f>industrie!D22</f>
        <v>4332.4915270182019</v>
      </c>
      <c r="F43" s="688">
        <f>industrie!E22</f>
        <v>237.95583148489746</v>
      </c>
      <c r="G43" s="688">
        <f>industrie!F22</f>
        <v>2778.3642379879607</v>
      </c>
      <c r="H43" s="688">
        <f>industrie!G22</f>
        <v>0</v>
      </c>
      <c r="I43" s="688">
        <f>industrie!H22</f>
        <v>0</v>
      </c>
      <c r="J43" s="688">
        <f>industrie!I22</f>
        <v>0</v>
      </c>
      <c r="K43" s="688">
        <f>industrie!J22</f>
        <v>56.653178584727343</v>
      </c>
      <c r="L43" s="688">
        <f>industrie!K22</f>
        <v>0</v>
      </c>
      <c r="M43" s="688">
        <f>industrie!L22</f>
        <v>0</v>
      </c>
      <c r="N43" s="688">
        <f>industrie!M22</f>
        <v>0</v>
      </c>
      <c r="O43" s="688">
        <f>industrie!N22</f>
        <v>0</v>
      </c>
      <c r="P43" s="688">
        <f>industrie!O22</f>
        <v>0</v>
      </c>
      <c r="Q43" s="763">
        <f>industrie!P22</f>
        <v>0</v>
      </c>
      <c r="R43" s="843">
        <f t="shared" ca="1" si="4"/>
        <v>15944.665562706234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21106.883578678753</v>
      </c>
      <c r="D46" s="721">
        <f t="shared" ref="D46:Q46" ca="1" si="5">SUM(D39:D45)</f>
        <v>0</v>
      </c>
      <c r="E46" s="721">
        <f t="shared" ca="1" si="5"/>
        <v>33152.670843260152</v>
      </c>
      <c r="F46" s="721">
        <f t="shared" si="5"/>
        <v>1225.3426006710727</v>
      </c>
      <c r="G46" s="721">
        <f t="shared" ca="1" si="5"/>
        <v>4894.2704197392486</v>
      </c>
      <c r="H46" s="721">
        <f t="shared" si="5"/>
        <v>0</v>
      </c>
      <c r="I46" s="721">
        <f t="shared" si="5"/>
        <v>0</v>
      </c>
      <c r="J46" s="721">
        <f t="shared" si="5"/>
        <v>0</v>
      </c>
      <c r="K46" s="721">
        <f t="shared" si="5"/>
        <v>56.653178584727343</v>
      </c>
      <c r="L46" s="721">
        <f t="shared" si="5"/>
        <v>0</v>
      </c>
      <c r="M46" s="721">
        <f t="shared" ca="1" si="5"/>
        <v>0</v>
      </c>
      <c r="N46" s="721">
        <f t="shared" si="5"/>
        <v>0</v>
      </c>
      <c r="O46" s="721">
        <f t="shared" ca="1" si="5"/>
        <v>0</v>
      </c>
      <c r="P46" s="721">
        <f t="shared" si="5"/>
        <v>0</v>
      </c>
      <c r="Q46" s="721">
        <f t="shared" si="5"/>
        <v>0</v>
      </c>
      <c r="R46" s="721">
        <f ca="1">SUM(R39:R45)</f>
        <v>60435.820620933962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382.35183712146591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382.35183712146591</v>
      </c>
    </row>
    <row r="50" spans="1:18">
      <c r="A50" s="819" t="s">
        <v>307</v>
      </c>
      <c r="B50" s="829"/>
      <c r="C50" s="1008">
        <f ca="1">transport!B18</f>
        <v>0.38176827461853341</v>
      </c>
      <c r="D50" s="1008">
        <f>transport!C18</f>
        <v>0</v>
      </c>
      <c r="E50" s="1008">
        <f>transport!D18</f>
        <v>1.2270620197055881</v>
      </c>
      <c r="F50" s="1008">
        <f>transport!E18</f>
        <v>80.177215174076935</v>
      </c>
      <c r="G50" s="1008">
        <f>transport!F18</f>
        <v>0</v>
      </c>
      <c r="H50" s="1008">
        <f>transport!G18</f>
        <v>24582.083156526158</v>
      </c>
      <c r="I50" s="1008">
        <f>transport!H18</f>
        <v>3367.5764563351254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28031.445658329685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0.38176827461853341</v>
      </c>
      <c r="D52" s="721">
        <f t="shared" ref="D52:Q52" ca="1" si="6">SUM(D48:D51)</f>
        <v>0</v>
      </c>
      <c r="E52" s="721">
        <f t="shared" si="6"/>
        <v>1.2270620197055881</v>
      </c>
      <c r="F52" s="721">
        <f t="shared" si="6"/>
        <v>80.177215174076935</v>
      </c>
      <c r="G52" s="721">
        <f t="shared" si="6"/>
        <v>0</v>
      </c>
      <c r="H52" s="721">
        <f t="shared" si="6"/>
        <v>24964.434993647625</v>
      </c>
      <c r="I52" s="721">
        <f t="shared" si="6"/>
        <v>3367.5764563351254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28413.797495451152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395.99595074159714</v>
      </c>
      <c r="D54" s="1008">
        <f ca="1">+landbouw!C12</f>
        <v>0</v>
      </c>
      <c r="E54" s="1008">
        <f>+landbouw!D12</f>
        <v>48.711091572324776</v>
      </c>
      <c r="F54" s="1008">
        <f>+landbouw!E12</f>
        <v>4.9540200241739676</v>
      </c>
      <c r="G54" s="1008">
        <f>+landbouw!F12</f>
        <v>2018.4714560889283</v>
      </c>
      <c r="H54" s="1008">
        <f>+landbouw!G12</f>
        <v>0</v>
      </c>
      <c r="I54" s="1008">
        <f>+landbouw!H12</f>
        <v>0</v>
      </c>
      <c r="J54" s="1008">
        <f>+landbouw!I12</f>
        <v>0</v>
      </c>
      <c r="K54" s="1008">
        <f>+landbouw!J12</f>
        <v>101.44721912714591</v>
      </c>
      <c r="L54" s="1008">
        <f>+landbouw!K12</f>
        <v>0</v>
      </c>
      <c r="M54" s="1008">
        <f>+landbouw!L12</f>
        <v>0</v>
      </c>
      <c r="N54" s="1008">
        <f>+landbouw!M12</f>
        <v>0</v>
      </c>
      <c r="O54" s="1008">
        <f>+landbouw!N12</f>
        <v>0</v>
      </c>
      <c r="P54" s="1008">
        <f>+landbouw!O12</f>
        <v>0</v>
      </c>
      <c r="Q54" s="1009">
        <f>+landbouw!P12</f>
        <v>0</v>
      </c>
      <c r="R54" s="720">
        <f ca="1">SUM(C54:Q54)</f>
        <v>2569.5797375541706</v>
      </c>
    </row>
    <row r="55" spans="1:18" ht="15" thickBot="1">
      <c r="A55" s="819" t="s">
        <v>912</v>
      </c>
      <c r="B55" s="829"/>
      <c r="C55" s="1008">
        <f ca="1">C25*'EF ele_warmte'!B12</f>
        <v>286.85895650529295</v>
      </c>
      <c r="D55" s="1008"/>
      <c r="E55" s="1008">
        <f>E25*EF_CO2_aardgas</f>
        <v>1781.6588310626387</v>
      </c>
      <c r="F55" s="1008"/>
      <c r="G55" s="1008"/>
      <c r="H55" s="1008"/>
      <c r="I55" s="1008"/>
      <c r="J55" s="1008"/>
      <c r="K55" s="1008"/>
      <c r="L55" s="1008"/>
      <c r="M55" s="1008"/>
      <c r="N55" s="1008"/>
      <c r="O55" s="1008"/>
      <c r="P55" s="1008"/>
      <c r="Q55" s="1009"/>
      <c r="R55" s="720">
        <f ca="1">SUM(C55:Q55)</f>
        <v>2068.5177875679315</v>
      </c>
    </row>
    <row r="56" spans="1:18" ht="15.75" thickBot="1">
      <c r="A56" s="817" t="s">
        <v>913</v>
      </c>
      <c r="B56" s="830"/>
      <c r="C56" s="721">
        <f ca="1">SUM(C54:C55)</f>
        <v>682.85490724689009</v>
      </c>
      <c r="D56" s="721">
        <f t="shared" ref="D56:Q56" ca="1" si="7">SUM(D54:D55)</f>
        <v>0</v>
      </c>
      <c r="E56" s="721">
        <f t="shared" si="7"/>
        <v>1830.3699226349634</v>
      </c>
      <c r="F56" s="721">
        <f t="shared" si="7"/>
        <v>4.9540200241739676</v>
      </c>
      <c r="G56" s="721">
        <f t="shared" si="7"/>
        <v>2018.4714560889283</v>
      </c>
      <c r="H56" s="721">
        <f t="shared" si="7"/>
        <v>0</v>
      </c>
      <c r="I56" s="721">
        <f t="shared" si="7"/>
        <v>0</v>
      </c>
      <c r="J56" s="721">
        <f t="shared" si="7"/>
        <v>0</v>
      </c>
      <c r="K56" s="721">
        <f t="shared" si="7"/>
        <v>101.44721912714591</v>
      </c>
      <c r="L56" s="721">
        <f t="shared" si="7"/>
        <v>0</v>
      </c>
      <c r="M56" s="721">
        <f t="shared" si="7"/>
        <v>0</v>
      </c>
      <c r="N56" s="721">
        <f t="shared" si="7"/>
        <v>0</v>
      </c>
      <c r="O56" s="721">
        <f t="shared" si="7"/>
        <v>0</v>
      </c>
      <c r="P56" s="721">
        <f t="shared" si="7"/>
        <v>0</v>
      </c>
      <c r="Q56" s="722">
        <f t="shared" si="7"/>
        <v>0</v>
      </c>
      <c r="R56" s="723">
        <f ca="1">SUM(R54:R55)</f>
        <v>4638.0975251221025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21790.120254200261</v>
      </c>
      <c r="D61" s="729">
        <f t="shared" ref="D61:Q61" ca="1" si="8">D46+D52+D56</f>
        <v>0</v>
      </c>
      <c r="E61" s="729">
        <f t="shared" ca="1" si="8"/>
        <v>34984.267827914824</v>
      </c>
      <c r="F61" s="729">
        <f t="shared" si="8"/>
        <v>1310.4738358693237</v>
      </c>
      <c r="G61" s="729">
        <f t="shared" ca="1" si="8"/>
        <v>6912.7418758281765</v>
      </c>
      <c r="H61" s="729">
        <f t="shared" si="8"/>
        <v>24964.434993647625</v>
      </c>
      <c r="I61" s="729">
        <f t="shared" si="8"/>
        <v>3367.5764563351254</v>
      </c>
      <c r="J61" s="729">
        <f t="shared" si="8"/>
        <v>0</v>
      </c>
      <c r="K61" s="729">
        <f t="shared" si="8"/>
        <v>158.10039771187326</v>
      </c>
      <c r="L61" s="729">
        <f t="shared" si="8"/>
        <v>0</v>
      </c>
      <c r="M61" s="729">
        <f t="shared" ca="1" si="8"/>
        <v>0</v>
      </c>
      <c r="N61" s="729">
        <f t="shared" si="8"/>
        <v>0</v>
      </c>
      <c r="O61" s="729">
        <f t="shared" ca="1" si="8"/>
        <v>0</v>
      </c>
      <c r="P61" s="729">
        <f t="shared" si="8"/>
        <v>0</v>
      </c>
      <c r="Q61" s="729">
        <f t="shared" si="8"/>
        <v>0</v>
      </c>
      <c r="R61" s="729">
        <f ca="1">R46+R52+R56</f>
        <v>93487.71564150721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0.17093879438846918</v>
      </c>
      <c r="D63" s="773">
        <f t="shared" ca="1" si="9"/>
        <v>0</v>
      </c>
      <c r="E63" s="1010">
        <f t="shared" ca="1" si="9"/>
        <v>0.20200000000000004</v>
      </c>
      <c r="F63" s="773">
        <f t="shared" si="9"/>
        <v>0.22700000000000006</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25163.10760361041</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2812.2931988614746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2250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28875.400802471886</v>
      </c>
      <c r="C78" s="744">
        <f>SUM(C72:C77)</f>
        <v>0</v>
      </c>
      <c r="D78" s="745">
        <f t="shared" ref="D78:H78" si="10">SUM(D76:D77)</f>
        <v>0</v>
      </c>
      <c r="E78" s="745">
        <f t="shared" si="10"/>
        <v>0</v>
      </c>
      <c r="F78" s="745">
        <f t="shared" si="10"/>
        <v>0</v>
      </c>
      <c r="G78" s="745">
        <f t="shared" si="10"/>
        <v>0</v>
      </c>
      <c r="H78" s="745">
        <f t="shared" si="10"/>
        <v>0</v>
      </c>
      <c r="I78" s="745">
        <f>SUM(I76:I77)</f>
        <v>2250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37238.475173104889</v>
      </c>
      <c r="C4" s="461">
        <f>huishoudens!C8</f>
        <v>0</v>
      </c>
      <c r="D4" s="461">
        <f>huishoudens!D8</f>
        <v>98917.907918589903</v>
      </c>
      <c r="E4" s="461">
        <f>huishoudens!E8</f>
        <v>4078.0476497055915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11685.558344745747</v>
      </c>
      <c r="O4" s="461">
        <f>huishoudens!O8</f>
        <v>65.660000000000011</v>
      </c>
      <c r="P4" s="462">
        <f>huishoudens!P8</f>
        <v>286</v>
      </c>
      <c r="Q4" s="463">
        <f>SUM(B4:P4)</f>
        <v>152271.64908614612</v>
      </c>
    </row>
    <row r="5" spans="1:17">
      <c r="A5" s="460" t="s">
        <v>156</v>
      </c>
      <c r="B5" s="461">
        <f ca="1">tertiair!B16</f>
        <v>34772.149210774463</v>
      </c>
      <c r="C5" s="461">
        <f ca="1">tertiair!C16</f>
        <v>0</v>
      </c>
      <c r="D5" s="461">
        <f ca="1">tertiair!D16</f>
        <v>43756.247112310841</v>
      </c>
      <c r="E5" s="461">
        <f>tertiair!E16</f>
        <v>271.67380045377007</v>
      </c>
      <c r="F5" s="461">
        <f ca="1">tertiair!F16</f>
        <v>7924.7422537501434</v>
      </c>
      <c r="G5" s="461">
        <f>tertiair!G16</f>
        <v>0</v>
      </c>
      <c r="H5" s="461">
        <f>tertiair!H16</f>
        <v>0</v>
      </c>
      <c r="I5" s="461">
        <f>tertiair!I16</f>
        <v>0</v>
      </c>
      <c r="J5" s="461">
        <f>tertiair!J16</f>
        <v>0</v>
      </c>
      <c r="K5" s="461">
        <f>tertiair!K16</f>
        <v>0</v>
      </c>
      <c r="L5" s="461">
        <f ca="1">tertiair!L16</f>
        <v>0</v>
      </c>
      <c r="M5" s="461">
        <f>tertiair!M16</f>
        <v>0</v>
      </c>
      <c r="N5" s="461">
        <f ca="1">tertiair!N16</f>
        <v>2999.9809058670662</v>
      </c>
      <c r="O5" s="461">
        <f>tertiair!O16</f>
        <v>0</v>
      </c>
      <c r="P5" s="462">
        <f>tertiair!P16</f>
        <v>0</v>
      </c>
      <c r="Q5" s="460">
        <f t="shared" ref="Q5:Q14" ca="1" si="0">SUM(B5:P5)</f>
        <v>89724.793283156279</v>
      </c>
    </row>
    <row r="6" spans="1:17">
      <c r="A6" s="460" t="s">
        <v>194</v>
      </c>
      <c r="B6" s="461">
        <f>'openbare verlichting'!B8</f>
        <v>1510.912</v>
      </c>
      <c r="C6" s="461"/>
      <c r="D6" s="461"/>
      <c r="E6" s="461"/>
      <c r="F6" s="461"/>
      <c r="G6" s="461"/>
      <c r="H6" s="461"/>
      <c r="I6" s="461"/>
      <c r="J6" s="461"/>
      <c r="K6" s="461"/>
      <c r="L6" s="461"/>
      <c r="M6" s="461"/>
      <c r="N6" s="461"/>
      <c r="O6" s="461"/>
      <c r="P6" s="462"/>
      <c r="Q6" s="460">
        <f t="shared" si="0"/>
        <v>1510.912</v>
      </c>
    </row>
    <row r="7" spans="1:17">
      <c r="A7" s="460" t="s">
        <v>112</v>
      </c>
      <c r="B7" s="461">
        <f>landbouw!B8</f>
        <v>2316.5949669778961</v>
      </c>
      <c r="C7" s="461">
        <f>landbouw!C8</f>
        <v>0</v>
      </c>
      <c r="D7" s="461">
        <f>landbouw!D8</f>
        <v>241.14401768477612</v>
      </c>
      <c r="E7" s="461">
        <f>landbouw!E8</f>
        <v>21.823876758475627</v>
      </c>
      <c r="F7" s="461">
        <f>landbouw!F8</f>
        <v>7559.8181875989821</v>
      </c>
      <c r="G7" s="461">
        <f>landbouw!G8</f>
        <v>0</v>
      </c>
      <c r="H7" s="461">
        <f>landbouw!H8</f>
        <v>0</v>
      </c>
      <c r="I7" s="461">
        <f>landbouw!I8</f>
        <v>0</v>
      </c>
      <c r="J7" s="461">
        <f>landbouw!J8</f>
        <v>286.57406533092069</v>
      </c>
      <c r="K7" s="461">
        <f>landbouw!K8</f>
        <v>0</v>
      </c>
      <c r="L7" s="461">
        <f>landbouw!L8</f>
        <v>0</v>
      </c>
      <c r="M7" s="461">
        <f>landbouw!M8</f>
        <v>0</v>
      </c>
      <c r="N7" s="461">
        <f>landbouw!N8</f>
        <v>0</v>
      </c>
      <c r="O7" s="461">
        <f>landbouw!O8</f>
        <v>0</v>
      </c>
      <c r="P7" s="462">
        <f>landbouw!P8</f>
        <v>0</v>
      </c>
      <c r="Q7" s="460">
        <f t="shared" si="0"/>
        <v>10425.955114351051</v>
      </c>
    </row>
    <row r="8" spans="1:17">
      <c r="A8" s="460" t="s">
        <v>685</v>
      </c>
      <c r="B8" s="461">
        <f>industrie!B18</f>
        <v>49954.726884434276</v>
      </c>
      <c r="C8" s="461">
        <f>industrie!C18</f>
        <v>0</v>
      </c>
      <c r="D8" s="461">
        <f>industrie!D18</f>
        <v>21447.977856525751</v>
      </c>
      <c r="E8" s="461">
        <f>industrie!E18</f>
        <v>1048.2635748233367</v>
      </c>
      <c r="F8" s="461">
        <f>industrie!F18</f>
        <v>10405.858569243297</v>
      </c>
      <c r="G8" s="461">
        <f>industrie!G18</f>
        <v>0</v>
      </c>
      <c r="H8" s="461">
        <f>industrie!H18</f>
        <v>0</v>
      </c>
      <c r="I8" s="461">
        <f>industrie!I18</f>
        <v>0</v>
      </c>
      <c r="J8" s="461">
        <f>industrie!J18</f>
        <v>160.03722764047274</v>
      </c>
      <c r="K8" s="461">
        <f>industrie!K18</f>
        <v>0</v>
      </c>
      <c r="L8" s="461">
        <f>industrie!L18</f>
        <v>0</v>
      </c>
      <c r="M8" s="461">
        <f>industrie!M18</f>
        <v>0</v>
      </c>
      <c r="N8" s="461">
        <f>industrie!N18</f>
        <v>9704.8317154457854</v>
      </c>
      <c r="O8" s="461">
        <f>industrie!O18</f>
        <v>0</v>
      </c>
      <c r="P8" s="462">
        <f>industrie!P18</f>
        <v>0</v>
      </c>
      <c r="Q8" s="460">
        <f t="shared" si="0"/>
        <v>92721.695828112919</v>
      </c>
    </row>
    <row r="9" spans="1:17" s="466" customFormat="1">
      <c r="A9" s="464" t="s">
        <v>579</v>
      </c>
      <c r="B9" s="465">
        <f>transport!B14</f>
        <v>2.2333623914004037</v>
      </c>
      <c r="C9" s="465">
        <f>transport!C14</f>
        <v>0</v>
      </c>
      <c r="D9" s="465">
        <f>transport!D14</f>
        <v>6.0745644539880592</v>
      </c>
      <c r="E9" s="465">
        <f>transport!E14</f>
        <v>353.20359107522876</v>
      </c>
      <c r="F9" s="465">
        <f>transport!F14</f>
        <v>0</v>
      </c>
      <c r="G9" s="465">
        <f>transport!G14</f>
        <v>92067.727178000583</v>
      </c>
      <c r="H9" s="465">
        <f>transport!H14</f>
        <v>13524.40343909689</v>
      </c>
      <c r="I9" s="465">
        <f>transport!I14</f>
        <v>0</v>
      </c>
      <c r="J9" s="465">
        <f>transport!J14</f>
        <v>0</v>
      </c>
      <c r="K9" s="465">
        <f>transport!K14</f>
        <v>0</v>
      </c>
      <c r="L9" s="465">
        <f>transport!L14</f>
        <v>0</v>
      </c>
      <c r="M9" s="465">
        <f>transport!M14</f>
        <v>4718.4701315932407</v>
      </c>
      <c r="N9" s="465">
        <f>transport!N14</f>
        <v>0</v>
      </c>
      <c r="O9" s="465">
        <f>transport!O14</f>
        <v>0</v>
      </c>
      <c r="P9" s="465">
        <f>transport!P14</f>
        <v>0</v>
      </c>
      <c r="Q9" s="464">
        <f>SUM(B9:P9)</f>
        <v>110672.11226661134</v>
      </c>
    </row>
    <row r="10" spans="1:17">
      <c r="A10" s="460" t="s">
        <v>569</v>
      </c>
      <c r="B10" s="461">
        <f>transport!B54</f>
        <v>0</v>
      </c>
      <c r="C10" s="461">
        <f>transport!C54</f>
        <v>0</v>
      </c>
      <c r="D10" s="461">
        <f>transport!D54</f>
        <v>0</v>
      </c>
      <c r="E10" s="461">
        <f>transport!E54</f>
        <v>0</v>
      </c>
      <c r="F10" s="461">
        <f>transport!F54</f>
        <v>0</v>
      </c>
      <c r="G10" s="461">
        <f>transport!G54</f>
        <v>1432.0293525148536</v>
      </c>
      <c r="H10" s="461">
        <f>transport!H54</f>
        <v>0</v>
      </c>
      <c r="I10" s="461">
        <f>transport!I54</f>
        <v>0</v>
      </c>
      <c r="J10" s="461">
        <f>transport!J54</f>
        <v>0</v>
      </c>
      <c r="K10" s="461">
        <f>transport!K54</f>
        <v>0</v>
      </c>
      <c r="L10" s="461">
        <f>transport!L54</f>
        <v>0</v>
      </c>
      <c r="M10" s="461">
        <f>transport!M54</f>
        <v>62.882771149107391</v>
      </c>
      <c r="N10" s="461">
        <f>transport!N54</f>
        <v>0</v>
      </c>
      <c r="O10" s="461">
        <f>transport!O54</f>
        <v>0</v>
      </c>
      <c r="P10" s="462">
        <f>transport!P54</f>
        <v>0</v>
      </c>
      <c r="Q10" s="460">
        <f t="shared" si="0"/>
        <v>1494.912123663961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1678.13840931502</v>
      </c>
      <c r="C14" s="468"/>
      <c r="D14" s="468">
        <f>'SEAP template'!E25</f>
        <v>8820.0932230823691</v>
      </c>
      <c r="E14" s="468"/>
      <c r="F14" s="468"/>
      <c r="G14" s="468"/>
      <c r="H14" s="468"/>
      <c r="I14" s="468"/>
      <c r="J14" s="468"/>
      <c r="K14" s="468"/>
      <c r="L14" s="468"/>
      <c r="M14" s="468"/>
      <c r="N14" s="468"/>
      <c r="O14" s="468"/>
      <c r="P14" s="469"/>
      <c r="Q14" s="460">
        <f t="shared" si="0"/>
        <v>10498.23163239739</v>
      </c>
    </row>
    <row r="15" spans="1:17" s="473" customFormat="1">
      <c r="A15" s="470" t="s">
        <v>573</v>
      </c>
      <c r="B15" s="471">
        <f ca="1">SUM(B4:B14)</f>
        <v>127473.23000699795</v>
      </c>
      <c r="C15" s="471">
        <f t="shared" ref="C15:Q15" ca="1" si="1">SUM(C4:C14)</f>
        <v>0</v>
      </c>
      <c r="D15" s="471">
        <f t="shared" ca="1" si="1"/>
        <v>173189.44469264761</v>
      </c>
      <c r="E15" s="471">
        <f t="shared" si="1"/>
        <v>5773.0124928164023</v>
      </c>
      <c r="F15" s="471">
        <f t="shared" ca="1" si="1"/>
        <v>25890.419010592421</v>
      </c>
      <c r="G15" s="471">
        <f t="shared" si="1"/>
        <v>93499.756530515442</v>
      </c>
      <c r="H15" s="471">
        <f t="shared" si="1"/>
        <v>13524.40343909689</v>
      </c>
      <c r="I15" s="471">
        <f t="shared" si="1"/>
        <v>0</v>
      </c>
      <c r="J15" s="471">
        <f t="shared" si="1"/>
        <v>446.61129297139342</v>
      </c>
      <c r="K15" s="471">
        <f t="shared" si="1"/>
        <v>0</v>
      </c>
      <c r="L15" s="471">
        <f t="shared" ca="1" si="1"/>
        <v>0</v>
      </c>
      <c r="M15" s="471">
        <f t="shared" si="1"/>
        <v>4781.3529027423483</v>
      </c>
      <c r="N15" s="471">
        <f t="shared" ca="1" si="1"/>
        <v>24390.370966058596</v>
      </c>
      <c r="O15" s="471">
        <f t="shared" si="1"/>
        <v>65.660000000000011</v>
      </c>
      <c r="P15" s="471">
        <f t="shared" si="1"/>
        <v>286</v>
      </c>
      <c r="Q15" s="471">
        <f t="shared" ca="1" si="1"/>
        <v>469320.26133443904</v>
      </c>
    </row>
    <row r="17" spans="1:17">
      <c r="A17" s="474" t="s">
        <v>574</v>
      </c>
      <c r="B17" s="778">
        <f ca="1">huishoudens!B10</f>
        <v>0.17093879438846918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6365.5000509554911</v>
      </c>
      <c r="C22" s="461">
        <f t="shared" ref="C22:C32" ca="1" si="3">C4*$C$17</f>
        <v>0</v>
      </c>
      <c r="D22" s="461">
        <f t="shared" ref="D22:D32" si="4">D4*$D$17</f>
        <v>19981.417399555161</v>
      </c>
      <c r="E22" s="461">
        <f t="shared" ref="E22:E32" si="5">E4*$E$17</f>
        <v>925.71681648316928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27272.634266993824</v>
      </c>
    </row>
    <row r="23" spans="1:17">
      <c r="A23" s="460" t="s">
        <v>156</v>
      </c>
      <c r="B23" s="461">
        <f t="shared" ca="1" si="2"/>
        <v>5943.9092643857466</v>
      </c>
      <c r="C23" s="461">
        <f t="shared" ca="1" si="3"/>
        <v>0</v>
      </c>
      <c r="D23" s="461">
        <f t="shared" ca="1" si="4"/>
        <v>8838.7619166867898</v>
      </c>
      <c r="E23" s="461">
        <f t="shared" si="5"/>
        <v>61.669952703005805</v>
      </c>
      <c r="F23" s="461">
        <f t="shared" ca="1" si="6"/>
        <v>2115.9061817512884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16960.247315526831</v>
      </c>
    </row>
    <row r="24" spans="1:17">
      <c r="A24" s="460" t="s">
        <v>194</v>
      </c>
      <c r="B24" s="461">
        <f t="shared" ca="1" si="2"/>
        <v>258.27347570707076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258.27347570707076</v>
      </c>
    </row>
    <row r="25" spans="1:17">
      <c r="A25" s="460" t="s">
        <v>112</v>
      </c>
      <c r="B25" s="461">
        <f t="shared" ca="1" si="2"/>
        <v>395.99595074159714</v>
      </c>
      <c r="C25" s="461">
        <f t="shared" ca="1" si="3"/>
        <v>0</v>
      </c>
      <c r="D25" s="461">
        <f t="shared" si="4"/>
        <v>48.711091572324776</v>
      </c>
      <c r="E25" s="461">
        <f t="shared" si="5"/>
        <v>4.9540200241739676</v>
      </c>
      <c r="F25" s="461">
        <f t="shared" si="6"/>
        <v>2018.4714560889283</v>
      </c>
      <c r="G25" s="461">
        <f t="shared" si="7"/>
        <v>0</v>
      </c>
      <c r="H25" s="461">
        <f t="shared" si="8"/>
        <v>0</v>
      </c>
      <c r="I25" s="461">
        <f t="shared" si="9"/>
        <v>0</v>
      </c>
      <c r="J25" s="461">
        <f t="shared" si="10"/>
        <v>101.44721912714591</v>
      </c>
      <c r="K25" s="461">
        <f t="shared" si="11"/>
        <v>0</v>
      </c>
      <c r="L25" s="461">
        <f t="shared" si="12"/>
        <v>0</v>
      </c>
      <c r="M25" s="461">
        <f t="shared" si="13"/>
        <v>0</v>
      </c>
      <c r="N25" s="461">
        <f t="shared" si="14"/>
        <v>0</v>
      </c>
      <c r="O25" s="461">
        <f t="shared" si="15"/>
        <v>0</v>
      </c>
      <c r="P25" s="462">
        <f t="shared" si="16"/>
        <v>0</v>
      </c>
      <c r="Q25" s="460">
        <f t="shared" ca="1" si="17"/>
        <v>2569.5797375541706</v>
      </c>
    </row>
    <row r="26" spans="1:17">
      <c r="A26" s="460" t="s">
        <v>685</v>
      </c>
      <c r="B26" s="461">
        <f t="shared" ca="1" si="2"/>
        <v>8539.2007876304451</v>
      </c>
      <c r="C26" s="461">
        <f t="shared" ca="1" si="3"/>
        <v>0</v>
      </c>
      <c r="D26" s="461">
        <f t="shared" si="4"/>
        <v>4332.4915270182019</v>
      </c>
      <c r="E26" s="461">
        <f t="shared" si="5"/>
        <v>237.95583148489746</v>
      </c>
      <c r="F26" s="461">
        <f t="shared" si="6"/>
        <v>2778.3642379879607</v>
      </c>
      <c r="G26" s="461">
        <f t="shared" si="7"/>
        <v>0</v>
      </c>
      <c r="H26" s="461">
        <f t="shared" si="8"/>
        <v>0</v>
      </c>
      <c r="I26" s="461">
        <f t="shared" si="9"/>
        <v>0</v>
      </c>
      <c r="J26" s="461">
        <f t="shared" si="10"/>
        <v>56.653178584727343</v>
      </c>
      <c r="K26" s="461">
        <f t="shared" si="11"/>
        <v>0</v>
      </c>
      <c r="L26" s="461">
        <f t="shared" si="12"/>
        <v>0</v>
      </c>
      <c r="M26" s="461">
        <f t="shared" si="13"/>
        <v>0</v>
      </c>
      <c r="N26" s="461">
        <f t="shared" si="14"/>
        <v>0</v>
      </c>
      <c r="O26" s="461">
        <f t="shared" si="15"/>
        <v>0</v>
      </c>
      <c r="P26" s="462">
        <f t="shared" si="16"/>
        <v>0</v>
      </c>
      <c r="Q26" s="460">
        <f t="shared" ca="1" si="17"/>
        <v>15944.665562706234</v>
      </c>
    </row>
    <row r="27" spans="1:17" s="466" customFormat="1">
      <c r="A27" s="464" t="s">
        <v>579</v>
      </c>
      <c r="B27" s="772">
        <f t="shared" ca="1" si="2"/>
        <v>0.38176827461853341</v>
      </c>
      <c r="C27" s="465">
        <f t="shared" ca="1" si="3"/>
        <v>0</v>
      </c>
      <c r="D27" s="465">
        <f t="shared" si="4"/>
        <v>1.2270620197055881</v>
      </c>
      <c r="E27" s="465">
        <f t="shared" si="5"/>
        <v>80.177215174076935</v>
      </c>
      <c r="F27" s="465">
        <f t="shared" si="6"/>
        <v>0</v>
      </c>
      <c r="G27" s="465">
        <f t="shared" si="7"/>
        <v>24582.083156526158</v>
      </c>
      <c r="H27" s="465">
        <f t="shared" si="8"/>
        <v>3367.5764563351254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28031.445658329685</v>
      </c>
    </row>
    <row r="28" spans="1:17">
      <c r="A28" s="460" t="s">
        <v>569</v>
      </c>
      <c r="B28" s="461">
        <f t="shared" ca="1" si="2"/>
        <v>0</v>
      </c>
      <c r="C28" s="461">
        <f t="shared" ca="1" si="3"/>
        <v>0</v>
      </c>
      <c r="D28" s="461">
        <f t="shared" si="4"/>
        <v>0</v>
      </c>
      <c r="E28" s="461">
        <f t="shared" si="5"/>
        <v>0</v>
      </c>
      <c r="F28" s="461">
        <f t="shared" si="6"/>
        <v>0</v>
      </c>
      <c r="G28" s="461">
        <f t="shared" si="7"/>
        <v>382.35183712146591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382.35183712146591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286.85895650529295</v>
      </c>
      <c r="C32" s="461">
        <f t="shared" ca="1" si="3"/>
        <v>0</v>
      </c>
      <c r="D32" s="461">
        <f t="shared" si="4"/>
        <v>1781.6588310626387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2068.5177875679315</v>
      </c>
    </row>
    <row r="33" spans="1:17" s="473" customFormat="1">
      <c r="A33" s="470" t="s">
        <v>573</v>
      </c>
      <c r="B33" s="471">
        <f ca="1">SUM(B22:B32)</f>
        <v>21790.120254200265</v>
      </c>
      <c r="C33" s="471">
        <f t="shared" ref="C33:Q33" ca="1" si="18">SUM(C22:C32)</f>
        <v>0</v>
      </c>
      <c r="D33" s="471">
        <f t="shared" ca="1" si="18"/>
        <v>34984.267827914824</v>
      </c>
      <c r="E33" s="471">
        <f t="shared" si="18"/>
        <v>1310.4738358693235</v>
      </c>
      <c r="F33" s="471">
        <f t="shared" ca="1" si="18"/>
        <v>6912.7418758281765</v>
      </c>
      <c r="G33" s="471">
        <f t="shared" si="18"/>
        <v>24964.434993647625</v>
      </c>
      <c r="H33" s="471">
        <f t="shared" si="18"/>
        <v>3367.5764563351254</v>
      </c>
      <c r="I33" s="471">
        <f t="shared" si="18"/>
        <v>0</v>
      </c>
      <c r="J33" s="471">
        <f t="shared" si="18"/>
        <v>158.10039771187326</v>
      </c>
      <c r="K33" s="471">
        <f t="shared" si="18"/>
        <v>0</v>
      </c>
      <c r="L33" s="471">
        <f t="shared" ca="1" si="18"/>
        <v>0</v>
      </c>
      <c r="M33" s="471">
        <f t="shared" si="18"/>
        <v>0</v>
      </c>
      <c r="N33" s="471">
        <f t="shared" ca="1" si="18"/>
        <v>0</v>
      </c>
      <c r="O33" s="471">
        <f t="shared" si="18"/>
        <v>0</v>
      </c>
      <c r="P33" s="471">
        <f t="shared" si="18"/>
        <v>0</v>
      </c>
      <c r="Q33" s="471">
        <f t="shared" ca="1" si="18"/>
        <v>93487.71564150721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25163.10760361041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2812.2931988614746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900</v>
      </c>
      <c r="C9" s="1037">
        <f>'SEAP template'!C77</f>
        <v>0</v>
      </c>
      <c r="D9" s="1037">
        <f>'SEAP template'!D77</f>
        <v>0</v>
      </c>
      <c r="E9" s="1037">
        <f>'SEAP template'!E77</f>
        <v>0</v>
      </c>
      <c r="F9" s="1037">
        <f>'SEAP template'!F77</f>
        <v>0</v>
      </c>
      <c r="G9" s="1037">
        <f>'SEAP template'!G77</f>
        <v>0</v>
      </c>
      <c r="H9" s="1037">
        <f>'SEAP template'!H77</f>
        <v>0</v>
      </c>
      <c r="I9" s="1037">
        <f>'SEAP template'!I77</f>
        <v>2250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28875.400802471886</v>
      </c>
      <c r="C10" s="1041">
        <f>SUM(C4:C9)</f>
        <v>0</v>
      </c>
      <c r="D10" s="1041">
        <f t="shared" ref="D10:H10" si="0">SUM(D8:D9)</f>
        <v>0</v>
      </c>
      <c r="E10" s="1041">
        <f t="shared" si="0"/>
        <v>0</v>
      </c>
      <c r="F10" s="1041">
        <f t="shared" si="0"/>
        <v>0</v>
      </c>
      <c r="G10" s="1041">
        <f t="shared" si="0"/>
        <v>0</v>
      </c>
      <c r="H10" s="1041">
        <f t="shared" si="0"/>
        <v>0</v>
      </c>
      <c r="I10" s="1041">
        <f>SUM(I8:I9)</f>
        <v>2250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0.17093879438846918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0.17093879438846918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0.17093879438846918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0.17093879438846918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9092</v>
      </c>
      <c r="C9" s="338">
        <v>9763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1637</v>
      </c>
    </row>
    <row r="15" spans="1:6">
      <c r="A15" s="1286" t="s">
        <v>184</v>
      </c>
      <c r="B15" s="335">
        <v>28</v>
      </c>
    </row>
    <row r="16" spans="1:6">
      <c r="A16" s="1286" t="s">
        <v>6</v>
      </c>
      <c r="B16" s="335">
        <v>1197</v>
      </c>
    </row>
    <row r="17" spans="1:6">
      <c r="A17" s="1286" t="s">
        <v>7</v>
      </c>
      <c r="B17" s="335">
        <v>420</v>
      </c>
    </row>
    <row r="18" spans="1:6">
      <c r="A18" s="1286" t="s">
        <v>8</v>
      </c>
      <c r="B18" s="335">
        <v>1027</v>
      </c>
    </row>
    <row r="19" spans="1:6">
      <c r="A19" s="1286" t="s">
        <v>9</v>
      </c>
      <c r="B19" s="335">
        <v>966</v>
      </c>
    </row>
    <row r="20" spans="1:6">
      <c r="A20" s="1286" t="s">
        <v>10</v>
      </c>
      <c r="B20" s="335">
        <v>602</v>
      </c>
    </row>
    <row r="21" spans="1:6">
      <c r="A21" s="1286" t="s">
        <v>11</v>
      </c>
      <c r="B21" s="335">
        <v>11313</v>
      </c>
    </row>
    <row r="22" spans="1:6">
      <c r="A22" s="1286" t="s">
        <v>12</v>
      </c>
      <c r="B22" s="335">
        <v>25634</v>
      </c>
    </row>
    <row r="23" spans="1:6">
      <c r="A23" s="1286" t="s">
        <v>13</v>
      </c>
      <c r="B23" s="335">
        <v>528</v>
      </c>
    </row>
    <row r="24" spans="1:6">
      <c r="A24" s="1286" t="s">
        <v>14</v>
      </c>
      <c r="B24" s="335">
        <v>22</v>
      </c>
    </row>
    <row r="25" spans="1:6">
      <c r="A25" s="1286" t="s">
        <v>15</v>
      </c>
      <c r="B25" s="335">
        <v>2777</v>
      </c>
    </row>
    <row r="26" spans="1:6">
      <c r="A26" s="1286" t="s">
        <v>16</v>
      </c>
      <c r="B26" s="335">
        <v>425</v>
      </c>
    </row>
    <row r="27" spans="1:6">
      <c r="A27" s="1286" t="s">
        <v>17</v>
      </c>
      <c r="B27" s="335">
        <v>2</v>
      </c>
    </row>
    <row r="28" spans="1:6" s="341" customFormat="1">
      <c r="A28" s="1287" t="s">
        <v>18</v>
      </c>
      <c r="B28" s="1287">
        <v>38283</v>
      </c>
    </row>
    <row r="29" spans="1:6">
      <c r="A29" s="1287" t="s">
        <v>944</v>
      </c>
      <c r="B29" s="1287">
        <v>74</v>
      </c>
      <c r="C29" s="341"/>
      <c r="D29" s="341"/>
      <c r="E29" s="341"/>
      <c r="F29" s="341"/>
    </row>
    <row r="30" spans="1:6">
      <c r="A30" s="1282" t="s">
        <v>945</v>
      </c>
      <c r="B30" s="1282">
        <v>17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14405.921842989401</v>
      </c>
    </row>
    <row r="37" spans="1:6">
      <c r="A37" s="1286" t="s">
        <v>25</v>
      </c>
      <c r="B37" s="1286" t="s">
        <v>28</v>
      </c>
      <c r="C37" s="335">
        <v>0</v>
      </c>
      <c r="D37" s="335">
        <v>0</v>
      </c>
      <c r="E37" s="335">
        <v>0</v>
      </c>
      <c r="F37" s="335">
        <v>0</v>
      </c>
    </row>
    <row r="38" spans="1:6">
      <c r="A38" s="1286" t="s">
        <v>25</v>
      </c>
      <c r="B38" s="1286" t="s">
        <v>29</v>
      </c>
      <c r="C38" s="335">
        <v>1</v>
      </c>
      <c r="D38" s="335">
        <v>39627.932493306798</v>
      </c>
      <c r="E38" s="335">
        <v>3</v>
      </c>
      <c r="F38" s="335">
        <v>18832.472207951301</v>
      </c>
    </row>
    <row r="39" spans="1:6">
      <c r="A39" s="1286" t="s">
        <v>30</v>
      </c>
      <c r="B39" s="1286" t="s">
        <v>31</v>
      </c>
      <c r="C39" s="335">
        <v>6693</v>
      </c>
      <c r="D39" s="335">
        <v>109665086.38424601</v>
      </c>
      <c r="E39" s="335">
        <v>8944</v>
      </c>
      <c r="F39" s="335">
        <v>35127778.0438722</v>
      </c>
    </row>
    <row r="40" spans="1:6">
      <c r="A40" s="1286" t="s">
        <v>30</v>
      </c>
      <c r="B40" s="1286" t="s">
        <v>29</v>
      </c>
      <c r="C40" s="335">
        <v>0</v>
      </c>
      <c r="D40" s="335">
        <v>0</v>
      </c>
      <c r="E40" s="335">
        <v>0</v>
      </c>
      <c r="F40" s="335">
        <v>0</v>
      </c>
    </row>
    <row r="41" spans="1:6">
      <c r="A41" s="1286" t="s">
        <v>32</v>
      </c>
      <c r="B41" s="1286" t="s">
        <v>33</v>
      </c>
      <c r="C41" s="335">
        <v>84</v>
      </c>
      <c r="D41" s="335">
        <v>3326936.7717332901</v>
      </c>
      <c r="E41" s="335">
        <v>205</v>
      </c>
      <c r="F41" s="335">
        <v>2840780.3534700898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5816590.1894293902</v>
      </c>
      <c r="E44" s="335">
        <v>32</v>
      </c>
      <c r="F44" s="335">
        <v>4322587.4283732697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9</v>
      </c>
      <c r="F47" s="335">
        <v>24239624.732128799</v>
      </c>
    </row>
    <row r="48" spans="1:6">
      <c r="A48" s="1286" t="s">
        <v>32</v>
      </c>
      <c r="B48" s="1286" t="s">
        <v>29</v>
      </c>
      <c r="C48" s="335">
        <v>37</v>
      </c>
      <c r="D48" s="335">
        <v>13998919.4251587</v>
      </c>
      <c r="E48" s="335">
        <v>40</v>
      </c>
      <c r="F48" s="335">
        <v>17674540.651107099</v>
      </c>
    </row>
    <row r="49" spans="1:6">
      <c r="A49" s="1286" t="s">
        <v>32</v>
      </c>
      <c r="B49" s="1286" t="s">
        <v>40</v>
      </c>
      <c r="C49" s="335">
        <v>0</v>
      </c>
      <c r="D49" s="335">
        <v>0</v>
      </c>
      <c r="E49" s="335">
        <v>5</v>
      </c>
      <c r="F49" s="335">
        <v>76269.901611439796</v>
      </c>
    </row>
    <row r="50" spans="1:6">
      <c r="A50" s="1286" t="s">
        <v>32</v>
      </c>
      <c r="B50" s="1286" t="s">
        <v>41</v>
      </c>
      <c r="C50" s="335">
        <v>9</v>
      </c>
      <c r="D50" s="335">
        <v>635799.57435018395</v>
      </c>
      <c r="E50" s="335">
        <v>17</v>
      </c>
      <c r="F50" s="335">
        <v>800923.81774358195</v>
      </c>
    </row>
    <row r="51" spans="1:6">
      <c r="A51" s="1286" t="s">
        <v>42</v>
      </c>
      <c r="B51" s="1286" t="s">
        <v>43</v>
      </c>
      <c r="C51" s="335">
        <v>9</v>
      </c>
      <c r="D51" s="335">
        <v>191618.84019792601</v>
      </c>
      <c r="E51" s="335">
        <v>70</v>
      </c>
      <c r="F51" s="335">
        <v>1890701.5155435901</v>
      </c>
    </row>
    <row r="52" spans="1:6">
      <c r="A52" s="1286" t="s">
        <v>42</v>
      </c>
      <c r="B52" s="1286" t="s">
        <v>29</v>
      </c>
      <c r="C52" s="335">
        <v>6</v>
      </c>
      <c r="D52" s="335">
        <v>75724.860117790304</v>
      </c>
      <c r="E52" s="335">
        <v>14</v>
      </c>
      <c r="F52" s="335">
        <v>425893.45143430599</v>
      </c>
    </row>
    <row r="53" spans="1:6">
      <c r="A53" s="1286" t="s">
        <v>44</v>
      </c>
      <c r="B53" s="1286" t="s">
        <v>45</v>
      </c>
      <c r="C53" s="335">
        <v>169</v>
      </c>
      <c r="D53" s="335">
        <v>8820093.2230823692</v>
      </c>
      <c r="E53" s="335">
        <v>307</v>
      </c>
      <c r="F53" s="335">
        <v>1678138.4093150201</v>
      </c>
    </row>
    <row r="54" spans="1:6">
      <c r="A54" s="1286" t="s">
        <v>46</v>
      </c>
      <c r="B54" s="1286" t="s">
        <v>47</v>
      </c>
      <c r="C54" s="335">
        <v>0</v>
      </c>
      <c r="D54" s="335">
        <v>0</v>
      </c>
      <c r="E54" s="335">
        <v>1</v>
      </c>
      <c r="F54" s="335">
        <v>1510912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7120568.1678844905</v>
      </c>
      <c r="E57" s="335">
        <v>116</v>
      </c>
      <c r="F57" s="335">
        <v>4726703.5136724804</v>
      </c>
    </row>
    <row r="58" spans="1:6">
      <c r="A58" s="1286" t="s">
        <v>49</v>
      </c>
      <c r="B58" s="1286" t="s">
        <v>51</v>
      </c>
      <c r="C58" s="335">
        <v>42</v>
      </c>
      <c r="D58" s="335">
        <v>7694559.1378745502</v>
      </c>
      <c r="E58" s="335">
        <v>65</v>
      </c>
      <c r="F58" s="335">
        <v>6171197.3412735201</v>
      </c>
    </row>
    <row r="59" spans="1:6">
      <c r="A59" s="1286" t="s">
        <v>49</v>
      </c>
      <c r="B59" s="1286" t="s">
        <v>52</v>
      </c>
      <c r="C59" s="335">
        <v>164</v>
      </c>
      <c r="D59" s="335">
        <v>6292375.2229590602</v>
      </c>
      <c r="E59" s="335">
        <v>355</v>
      </c>
      <c r="F59" s="335">
        <v>10421204.211472901</v>
      </c>
    </row>
    <row r="60" spans="1:6">
      <c r="A60" s="1286" t="s">
        <v>49</v>
      </c>
      <c r="B60" s="1286" t="s">
        <v>53</v>
      </c>
      <c r="C60" s="335">
        <v>73</v>
      </c>
      <c r="D60" s="335">
        <v>3025929.3382243798</v>
      </c>
      <c r="E60" s="335">
        <v>98</v>
      </c>
      <c r="F60" s="335">
        <v>2665764.7809268301</v>
      </c>
    </row>
    <row r="61" spans="1:6">
      <c r="A61" s="1286" t="s">
        <v>49</v>
      </c>
      <c r="B61" s="1286" t="s">
        <v>54</v>
      </c>
      <c r="C61" s="335">
        <v>192</v>
      </c>
      <c r="D61" s="335">
        <v>15739061.8760252</v>
      </c>
      <c r="E61" s="335">
        <v>465</v>
      </c>
      <c r="F61" s="335">
        <v>6287509.2398936404</v>
      </c>
    </row>
    <row r="62" spans="1:6">
      <c r="A62" s="1286" t="s">
        <v>49</v>
      </c>
      <c r="B62" s="1286" t="s">
        <v>55</v>
      </c>
      <c r="C62" s="335">
        <v>7</v>
      </c>
      <c r="D62" s="335">
        <v>2630777.7612380199</v>
      </c>
      <c r="E62" s="335">
        <v>14</v>
      </c>
      <c r="F62" s="335">
        <v>1119988.65767053</v>
      </c>
    </row>
    <row r="63" spans="1:6">
      <c r="A63" s="1286" t="s">
        <v>49</v>
      </c>
      <c r="B63" s="1286" t="s">
        <v>29</v>
      </c>
      <c r="C63" s="335">
        <v>110</v>
      </c>
      <c r="D63" s="335">
        <v>6006980.2832786003</v>
      </c>
      <c r="E63" s="335">
        <v>93</v>
      </c>
      <c r="F63" s="335">
        <v>2479781.4658645601</v>
      </c>
    </row>
    <row r="64" spans="1:6">
      <c r="A64" s="1286" t="s">
        <v>56</v>
      </c>
      <c r="B64" s="1286" t="s">
        <v>57</v>
      </c>
      <c r="C64" s="335">
        <v>0</v>
      </c>
      <c r="D64" s="335">
        <v>0</v>
      </c>
      <c r="E64" s="335">
        <v>0</v>
      </c>
      <c r="F64" s="335">
        <v>0</v>
      </c>
    </row>
    <row r="65" spans="1:6">
      <c r="A65" s="1286" t="s">
        <v>56</v>
      </c>
      <c r="B65" s="1286" t="s">
        <v>29</v>
      </c>
      <c r="C65" s="335">
        <v>1</v>
      </c>
      <c r="D65" s="335">
        <v>0</v>
      </c>
      <c r="E65" s="335">
        <v>4</v>
      </c>
      <c r="F65" s="335">
        <v>60257.275914055201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113456.909479421</v>
      </c>
      <c r="E68" s="335">
        <v>16</v>
      </c>
      <c r="F68" s="335">
        <v>80451.3432356837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90937788</v>
      </c>
      <c r="E73" s="335">
        <v>107016306.38676333</v>
      </c>
    </row>
    <row r="74" spans="1:6">
      <c r="A74" s="1286" t="s">
        <v>64</v>
      </c>
      <c r="B74" s="1286" t="s">
        <v>772</v>
      </c>
      <c r="C74" s="1297" t="s">
        <v>766</v>
      </c>
      <c r="D74" s="335">
        <v>14254880.721726973</v>
      </c>
      <c r="E74" s="335">
        <v>16230373.473372994</v>
      </c>
    </row>
    <row r="75" spans="1:6">
      <c r="A75" s="1286" t="s">
        <v>65</v>
      </c>
      <c r="B75" s="1286" t="s">
        <v>771</v>
      </c>
      <c r="C75" s="1297" t="s">
        <v>767</v>
      </c>
      <c r="D75" s="335">
        <v>15210470</v>
      </c>
      <c r="E75" s="335">
        <v>19239969.328887537</v>
      </c>
    </row>
    <row r="76" spans="1:6">
      <c r="A76" s="1286" t="s">
        <v>65</v>
      </c>
      <c r="B76" s="1286" t="s">
        <v>772</v>
      </c>
      <c r="C76" s="1297" t="s">
        <v>768</v>
      </c>
      <c r="D76" s="335">
        <v>1341227.7217269721</v>
      </c>
      <c r="E76" s="335">
        <v>1554375.2430115517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393316.5565460556</v>
      </c>
      <c r="C83" s="335">
        <v>377770.40827917913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25163.10760361041</v>
      </c>
    </row>
    <row r="91" spans="1:6">
      <c r="A91" s="1286" t="s">
        <v>68</v>
      </c>
      <c r="B91" s="335">
        <v>2110.6971292326939</v>
      </c>
    </row>
    <row r="92" spans="1:6">
      <c r="A92" s="1282" t="s">
        <v>69</v>
      </c>
      <c r="B92" s="338">
        <v>701.59606962878047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4927</v>
      </c>
    </row>
    <row r="98" spans="1:6">
      <c r="A98" s="1286" t="s">
        <v>72</v>
      </c>
      <c r="B98" s="335">
        <v>3</v>
      </c>
    </row>
    <row r="99" spans="1:6">
      <c r="A99" s="1286" t="s">
        <v>73</v>
      </c>
      <c r="B99" s="335">
        <v>85</v>
      </c>
    </row>
    <row r="100" spans="1:6">
      <c r="A100" s="1286" t="s">
        <v>74</v>
      </c>
      <c r="B100" s="335">
        <v>935</v>
      </c>
    </row>
    <row r="101" spans="1:6">
      <c r="A101" s="1286" t="s">
        <v>75</v>
      </c>
      <c r="B101" s="335">
        <v>75</v>
      </c>
    </row>
    <row r="102" spans="1:6">
      <c r="A102" s="1286" t="s">
        <v>76</v>
      </c>
      <c r="B102" s="335">
        <v>200</v>
      </c>
    </row>
    <row r="103" spans="1:6">
      <c r="A103" s="1286" t="s">
        <v>77</v>
      </c>
      <c r="B103" s="335">
        <v>148</v>
      </c>
    </row>
    <row r="104" spans="1:6">
      <c r="A104" s="1286" t="s">
        <v>78</v>
      </c>
      <c r="B104" s="335">
        <v>1641</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127473.23000699794</v>
      </c>
      <c r="C3" s="44" t="s">
        <v>170</v>
      </c>
      <c r="D3" s="44"/>
      <c r="E3" s="157"/>
      <c r="F3" s="44"/>
      <c r="G3" s="44"/>
      <c r="H3" s="44"/>
      <c r="I3" s="44"/>
      <c r="J3" s="44"/>
      <c r="K3" s="97"/>
    </row>
    <row r="4" spans="1:11">
      <c r="A4" s="365" t="s">
        <v>171</v>
      </c>
      <c r="B4" s="50">
        <f>IF(ISERROR('SEAP template'!B78+'SEAP template'!C78),0,'SEAP template'!B78+'SEAP template'!C78)</f>
        <v>28875.400802471886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0.17093879438846918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1510.912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1510.912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0.17093879438846918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258.27347570707076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35127.778043872197</v>
      </c>
      <c r="C5" s="18">
        <f>IF(ISERROR('Eigen informatie GS &amp; warmtenet'!B57),0,'Eigen informatie GS &amp; warmtenet'!B57)</f>
        <v>0</v>
      </c>
      <c r="D5" s="31">
        <f>(SUM(HH_hh_gas_kWh,HH_rest_gas_kWh)/1000)*0.902</f>
        <v>98917.907918589903</v>
      </c>
      <c r="E5" s="18">
        <f>B46*B57</f>
        <v>4078.0476497055915</v>
      </c>
      <c r="F5" s="18">
        <f>B51*B62</f>
        <v>0</v>
      </c>
      <c r="G5" s="19"/>
      <c r="H5" s="18"/>
      <c r="I5" s="18"/>
      <c r="J5" s="18">
        <f>B50*B61+C50*C61</f>
        <v>0</v>
      </c>
      <c r="K5" s="18"/>
      <c r="L5" s="18"/>
      <c r="M5" s="18"/>
      <c r="N5" s="18">
        <f>B48*B59+C48*C59</f>
        <v>11685.558344745747</v>
      </c>
      <c r="O5" s="18">
        <f>B69*B70*B71</f>
        <v>65.660000000000011</v>
      </c>
      <c r="P5" s="18">
        <f>B77*B78*B79/1000-B77*B78*B79/1000/B80</f>
        <v>286</v>
      </c>
    </row>
    <row r="6" spans="1:16">
      <c r="A6" s="17" t="s">
        <v>639</v>
      </c>
      <c r="B6" s="780">
        <f>kWh_PV_kleiner_dan_10kW</f>
        <v>2110.6971292326939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37238.475173104889</v>
      </c>
      <c r="C8" s="22">
        <f>C5</f>
        <v>0</v>
      </c>
      <c r="D8" s="22">
        <f>D5</f>
        <v>98917.907918589903</v>
      </c>
      <c r="E8" s="22">
        <f>E5</f>
        <v>4078.0476497055915</v>
      </c>
      <c r="F8" s="22">
        <f>F5</f>
        <v>0</v>
      </c>
      <c r="G8" s="22"/>
      <c r="H8" s="22"/>
      <c r="I8" s="22"/>
      <c r="J8" s="22">
        <f>J5</f>
        <v>0</v>
      </c>
      <c r="K8" s="22"/>
      <c r="L8" s="22">
        <f>L5</f>
        <v>0</v>
      </c>
      <c r="M8" s="22">
        <f>M5</f>
        <v>0</v>
      </c>
      <c r="N8" s="22">
        <f>N5</f>
        <v>11685.558344745747</v>
      </c>
      <c r="O8" s="22">
        <f>O5</f>
        <v>65.660000000000011</v>
      </c>
      <c r="P8" s="22">
        <f>P5</f>
        <v>286</v>
      </c>
    </row>
    <row r="9" spans="1:16">
      <c r="B9" s="20"/>
      <c r="C9" s="20"/>
      <c r="D9" s="262"/>
      <c r="E9" s="20"/>
      <c r="F9" s="20"/>
      <c r="G9" s="20"/>
      <c r="H9" s="20"/>
      <c r="I9" s="20"/>
      <c r="J9" s="20"/>
      <c r="K9" s="20"/>
      <c r="L9" s="20"/>
      <c r="M9" s="20"/>
      <c r="N9" s="20"/>
      <c r="O9" s="20"/>
      <c r="P9" s="20"/>
    </row>
    <row r="10" spans="1:16">
      <c r="A10" s="25" t="s">
        <v>214</v>
      </c>
      <c r="B10" s="26">
        <f ca="1">'EF ele_warmte'!B12</f>
        <v>0.17093879438846918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6365.5000509554911</v>
      </c>
      <c r="C12" s="24">
        <f ca="1">C10*C8</f>
        <v>0</v>
      </c>
      <c r="D12" s="24">
        <f>D8*D10</f>
        <v>19981.417399555161</v>
      </c>
      <c r="E12" s="24">
        <f>E10*E8</f>
        <v>925.71681648316928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4927</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7.7625570776255701</v>
      </c>
      <c r="D20" s="232"/>
      <c r="E20" s="16"/>
    </row>
    <row r="21" spans="1:7">
      <c r="A21" s="174" t="s">
        <v>74</v>
      </c>
      <c r="B21" s="38">
        <f>aantalw2001_elektriciteit</f>
        <v>935</v>
      </c>
      <c r="C21" s="170">
        <f>IF(ISERROR(B21/SUM($B$20,$B$21,$B$22)*100),0,B21/SUM($B$20,$B$21,$B$22)*100)</f>
        <v>85.388127853881286</v>
      </c>
      <c r="D21" s="232"/>
      <c r="E21" s="16"/>
    </row>
    <row r="22" spans="1:7">
      <c r="A22" s="174" t="s">
        <v>75</v>
      </c>
      <c r="B22" s="38">
        <f>aantalw2001_hout</f>
        <v>75</v>
      </c>
      <c r="C22" s="170">
        <f>IF(ISERROR(B22/SUM($B$20,$B$21,$B$22)*100),0,B22/SUM($B$20,$B$21,$B$22)*100)</f>
        <v>6.8493150684931505</v>
      </c>
      <c r="D22" s="232"/>
      <c r="E22" s="16"/>
    </row>
    <row r="23" spans="1:7">
      <c r="A23" s="174" t="s">
        <v>76</v>
      </c>
      <c r="B23" s="38">
        <f>aantalw2001_niet_gespec</f>
        <v>200</v>
      </c>
      <c r="C23" s="169" t="s">
        <v>111</v>
      </c>
      <c r="D23" s="231"/>
      <c r="E23" s="16"/>
    </row>
    <row r="24" spans="1:7">
      <c r="A24" s="174" t="s">
        <v>77</v>
      </c>
      <c r="B24" s="38">
        <f>aantalw2001_steenkool</f>
        <v>148</v>
      </c>
      <c r="C24" s="169" t="s">
        <v>111</v>
      </c>
      <c r="D24" s="232"/>
      <c r="E24" s="16"/>
    </row>
    <row r="25" spans="1:7">
      <c r="A25" s="174" t="s">
        <v>78</v>
      </c>
      <c r="B25" s="38">
        <f>aantalw2001_stookolie</f>
        <v>1641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9092</v>
      </c>
      <c r="C28" s="37"/>
      <c r="D28" s="231"/>
    </row>
    <row r="29" spans="1:7" s="16" customFormat="1">
      <c r="A29" s="233" t="s">
        <v>666</v>
      </c>
      <c r="B29" s="38">
        <f>SUM(HH_hh_gas_aantal,HH_rest_gas_aantal)</f>
        <v>6693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6693</v>
      </c>
      <c r="C32" s="170">
        <f>IF(ISERROR(B32/SUM($B$32,$B$34,$B$35,$B$36,$B$38,$B$39)*100),0,B32/SUM($B$32,$B$34,$B$35,$B$36,$B$38,$B$39)*100)</f>
        <v>73.735815798171203</v>
      </c>
      <c r="D32" s="236"/>
      <c r="G32" s="16"/>
    </row>
    <row r="33" spans="1:7">
      <c r="A33" s="174" t="s">
        <v>72</v>
      </c>
      <c r="B33" s="35" t="s">
        <v>111</v>
      </c>
      <c r="C33" s="170"/>
      <c r="D33" s="236"/>
      <c r="G33" s="16"/>
    </row>
    <row r="34" spans="1:7">
      <c r="A34" s="174" t="s">
        <v>73</v>
      </c>
      <c r="B34" s="34">
        <f>IF((($B$28-$B$32-$B$39-$B$77-$B$38)*C20/100)&lt;0,0,($B$28-$B$32-$B$39-$B$77-$B$38)*C20/100)</f>
        <v>185.05936073059357</v>
      </c>
      <c r="C34" s="170">
        <f>IF(ISERROR(B34/SUM($B$32,$B$34,$B$35,$B$36,$B$38,$B$39)*100),0,B34/SUM($B$32,$B$34,$B$35,$B$36,$B$38,$B$39)*100)</f>
        <v>2.0387722896396778</v>
      </c>
      <c r="D34" s="236"/>
      <c r="G34" s="16"/>
    </row>
    <row r="35" spans="1:7">
      <c r="A35" s="174" t="s">
        <v>74</v>
      </c>
      <c r="B35" s="34">
        <f>IF((($B$28-$B$32-$B$39-$B$77-$B$38)*C21/100)&lt;0,0,($B$28-$B$32-$B$39-$B$77-$B$38)*C21/100)</f>
        <v>2035.6529680365297</v>
      </c>
      <c r="C35" s="170">
        <f>IF(ISERROR(B35/SUM($B$32,$B$34,$B$35,$B$36,$B$38,$B$39)*100),0,B35/SUM($B$32,$B$34,$B$35,$B$36,$B$38,$B$39)*100)</f>
        <v>22.426495186036462</v>
      </c>
      <c r="D35" s="236"/>
      <c r="G35" s="16"/>
    </row>
    <row r="36" spans="1:7">
      <c r="A36" s="174" t="s">
        <v>75</v>
      </c>
      <c r="B36" s="34">
        <f>IF((($B$28-$B$32-$B$39-$B$77-$B$38)*C22/100)&lt;0,0,($B$28-$B$32-$B$39-$B$77-$B$38)*C22/100)</f>
        <v>163.2876712328767</v>
      </c>
      <c r="C36" s="170">
        <f>IF(ISERROR(B36/SUM($B$32,$B$34,$B$35,$B$36,$B$38,$B$39)*100),0,B36/SUM($B$32,$B$34,$B$35,$B$36,$B$38,$B$39)*100)</f>
        <v>1.7989167261526571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6693</v>
      </c>
      <c r="C44" s="35" t="s">
        <v>111</v>
      </c>
      <c r="D44" s="177"/>
    </row>
    <row r="45" spans="1:7">
      <c r="A45" s="174" t="s">
        <v>72</v>
      </c>
      <c r="B45" s="34" t="str">
        <f t="shared" si="0"/>
        <v>-</v>
      </c>
      <c r="C45" s="35" t="s">
        <v>111</v>
      </c>
      <c r="D45" s="177"/>
    </row>
    <row r="46" spans="1:7">
      <c r="A46" s="174" t="s">
        <v>73</v>
      </c>
      <c r="B46" s="34">
        <f t="shared" si="0"/>
        <v>185.05936073059357</v>
      </c>
      <c r="C46" s="35" t="s">
        <v>111</v>
      </c>
      <c r="D46" s="177"/>
    </row>
    <row r="47" spans="1:7">
      <c r="A47" s="174" t="s">
        <v>74</v>
      </c>
      <c r="B47" s="34">
        <f t="shared" si="0"/>
        <v>2035.6529680365297</v>
      </c>
      <c r="C47" s="35" t="s">
        <v>111</v>
      </c>
      <c r="D47" s="177"/>
    </row>
    <row r="48" spans="1:7">
      <c r="A48" s="174" t="s">
        <v>75</v>
      </c>
      <c r="B48" s="34">
        <f t="shared" si="0"/>
        <v>163.2876712328767</v>
      </c>
      <c r="C48" s="34">
        <f>B48*10</f>
        <v>1632.8767123287671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33872.149210774463</v>
      </c>
      <c r="C5" s="18">
        <f>IF(ISERROR('Eigen informatie GS &amp; warmtenet'!B58),0,'Eigen informatie GS &amp; warmtenet'!B58)</f>
        <v>0</v>
      </c>
      <c r="D5" s="31">
        <f>SUM(D6:D12)</f>
        <v>43756.247112310841</v>
      </c>
      <c r="E5" s="18">
        <f>SUM(E6:E12)</f>
        <v>271.67380045377007</v>
      </c>
      <c r="F5" s="18">
        <f>SUM(F6:F12)</f>
        <v>7924.7422537501434</v>
      </c>
      <c r="G5" s="19"/>
      <c r="H5" s="18"/>
      <c r="I5" s="18"/>
      <c r="J5" s="18">
        <f>SUM(J6:J12)</f>
        <v>0</v>
      </c>
      <c r="K5" s="18"/>
      <c r="L5" s="18"/>
      <c r="M5" s="18"/>
      <c r="N5" s="18">
        <f>SUM(N6:N12)</f>
        <v>2999.9809058670662</v>
      </c>
      <c r="O5" s="18">
        <f>B38*B39*B40</f>
        <v>0</v>
      </c>
      <c r="P5" s="18">
        <f>B46*B47*B48/1000-B46*B47*B48/1000/B49</f>
        <v>0</v>
      </c>
      <c r="R5" s="33"/>
    </row>
    <row r="6" spans="1:18">
      <c r="A6" s="33" t="s">
        <v>54</v>
      </c>
      <c r="B6" s="38">
        <f>B26</f>
        <v>6287.5092398936404</v>
      </c>
      <c r="C6" s="34"/>
      <c r="D6" s="38">
        <f>IF(ISERROR(TER_kantoor_gas_kWh/1000),0,TER_kantoor_gas_kWh/1000)*0.902</f>
        <v>14196.63381217473</v>
      </c>
      <c r="E6" s="34">
        <f>$C$26*'E Balans VL '!I12/100/3.6*1000000</f>
        <v>10.319076988938626</v>
      </c>
      <c r="F6" s="34">
        <f>$C$26*('E Balans VL '!L12+'E Balans VL '!N12)/100/3.6*1000000</f>
        <v>741.14940232469996</v>
      </c>
      <c r="G6" s="35"/>
      <c r="H6" s="34"/>
      <c r="I6" s="34"/>
      <c r="J6" s="34">
        <f>$C$26*('E Balans VL '!D12+'E Balans VL '!E12)/100/3.6*1000000</f>
        <v>0</v>
      </c>
      <c r="K6" s="34"/>
      <c r="L6" s="34"/>
      <c r="M6" s="34"/>
      <c r="N6" s="34">
        <f>$C$26*'E Balans VL '!Y12/100/3.6*1000000</f>
        <v>1.2703614681267561</v>
      </c>
      <c r="O6" s="34"/>
      <c r="P6" s="34"/>
      <c r="R6" s="33"/>
    </row>
    <row r="7" spans="1:18">
      <c r="A7" s="33" t="s">
        <v>53</v>
      </c>
      <c r="B7" s="38">
        <f t="shared" ref="B7:B12" si="0">B27</f>
        <v>2665.7647809268301</v>
      </c>
      <c r="C7" s="34"/>
      <c r="D7" s="38">
        <f>IF(ISERROR(TER_horeca_gas_kWh/1000),0,TER_horeca_gas_kWh/1000)*0.902</f>
        <v>2729.388263078391</v>
      </c>
      <c r="E7" s="34">
        <f>$C$27*'E Balans VL '!I9/100/3.6*1000000</f>
        <v>138.33390224335946</v>
      </c>
      <c r="F7" s="34">
        <f>$C$27*('E Balans VL '!L9+'E Balans VL '!N9)/100/3.6*1000000</f>
        <v>608.32945729601431</v>
      </c>
      <c r="G7" s="35"/>
      <c r="H7" s="34"/>
      <c r="I7" s="34"/>
      <c r="J7" s="34">
        <f>$C$27*('E Balans VL '!D9+'E Balans VL '!E9)/100/3.6*1000000</f>
        <v>0</v>
      </c>
      <c r="K7" s="34"/>
      <c r="L7" s="34"/>
      <c r="M7" s="34"/>
      <c r="N7" s="34">
        <f>$C$27*'E Balans VL '!Y9/100/3.6*1000000</f>
        <v>0.28150353922586541</v>
      </c>
      <c r="O7" s="34"/>
      <c r="P7" s="34"/>
      <c r="R7" s="33"/>
    </row>
    <row r="8" spans="1:18">
      <c r="A8" s="6" t="s">
        <v>52</v>
      </c>
      <c r="B8" s="38">
        <f t="shared" si="0"/>
        <v>10421.204211472901</v>
      </c>
      <c r="C8" s="34"/>
      <c r="D8" s="38">
        <f>IF(ISERROR(TER_handel_gas_kWh/1000),0,TER_handel_gas_kWh/1000)*0.902</f>
        <v>5675.7224511090726</v>
      </c>
      <c r="E8" s="34">
        <f>$C$28*'E Balans VL '!I13/100/3.6*1000000</f>
        <v>56.119465274574225</v>
      </c>
      <c r="F8" s="34">
        <f>$C$28*('E Balans VL '!L13+'E Balans VL '!N13)/100/3.6*1000000</f>
        <v>2125.1932290156865</v>
      </c>
      <c r="G8" s="35"/>
      <c r="H8" s="34"/>
      <c r="I8" s="34"/>
      <c r="J8" s="34">
        <f>$C$28*('E Balans VL '!D13+'E Balans VL '!E13)/100/3.6*1000000</f>
        <v>0</v>
      </c>
      <c r="K8" s="34"/>
      <c r="L8" s="34"/>
      <c r="M8" s="34"/>
      <c r="N8" s="34">
        <f>$C$28*'E Balans VL '!Y13/100/3.6*1000000</f>
        <v>51.819145263382829</v>
      </c>
      <c r="O8" s="34"/>
      <c r="P8" s="34"/>
      <c r="R8" s="33"/>
    </row>
    <row r="9" spans="1:18">
      <c r="A9" s="33" t="s">
        <v>51</v>
      </c>
      <c r="B9" s="38">
        <f t="shared" si="0"/>
        <v>6171.1973412735206</v>
      </c>
      <c r="C9" s="34"/>
      <c r="D9" s="38">
        <f>IF(ISERROR(TER_gezond_gas_kWh/1000),0,TER_gezond_gas_kWh/1000)*0.902</f>
        <v>6940.4923423628443</v>
      </c>
      <c r="E9" s="34">
        <f>$C$29*'E Balans VL '!I10/100/3.6*1000000</f>
        <v>6.115726743767782</v>
      </c>
      <c r="F9" s="34">
        <f>$C$29*('E Balans VL '!L10+'E Balans VL '!N10)/100/3.6*1000000</f>
        <v>2141.2275994827219</v>
      </c>
      <c r="G9" s="35"/>
      <c r="H9" s="34"/>
      <c r="I9" s="34"/>
      <c r="J9" s="34">
        <f>$C$29*('E Balans VL '!D10+'E Balans VL '!E10)/100/3.6*1000000</f>
        <v>0</v>
      </c>
      <c r="K9" s="34"/>
      <c r="L9" s="34"/>
      <c r="M9" s="34"/>
      <c r="N9" s="34">
        <f>$C$29*'E Balans VL '!Y10/100/3.6*1000000</f>
        <v>53.176672881491328</v>
      </c>
      <c r="O9" s="34"/>
      <c r="P9" s="34"/>
      <c r="R9" s="33"/>
    </row>
    <row r="10" spans="1:18">
      <c r="A10" s="33" t="s">
        <v>50</v>
      </c>
      <c r="B10" s="38">
        <f t="shared" si="0"/>
        <v>4726.7035136724808</v>
      </c>
      <c r="C10" s="34"/>
      <c r="D10" s="38">
        <f>IF(ISERROR(TER_ander_gas_kWh/1000),0,TER_ander_gas_kWh/1000)*0.902</f>
        <v>6422.7524874318106</v>
      </c>
      <c r="E10" s="34">
        <f>$C$30*'E Balans VL '!I14/100/3.6*1000000</f>
        <v>38.669158745569476</v>
      </c>
      <c r="F10" s="34">
        <f>$C$30*('E Balans VL '!L14+'E Balans VL '!N14)/100/3.6*1000000</f>
        <v>1381.895675327929</v>
      </c>
      <c r="G10" s="35"/>
      <c r="H10" s="34"/>
      <c r="I10" s="34"/>
      <c r="J10" s="34">
        <f>$C$30*('E Balans VL '!D14+'E Balans VL '!E14)/100/3.6*1000000</f>
        <v>0</v>
      </c>
      <c r="K10" s="34"/>
      <c r="L10" s="34"/>
      <c r="M10" s="34"/>
      <c r="N10" s="34">
        <f>$C$30*'E Balans VL '!Y14/100/3.6*1000000</f>
        <v>2726.6877314849285</v>
      </c>
      <c r="O10" s="34"/>
      <c r="P10" s="34"/>
      <c r="R10" s="33"/>
    </row>
    <row r="11" spans="1:18">
      <c r="A11" s="33" t="s">
        <v>55</v>
      </c>
      <c r="B11" s="38">
        <f t="shared" si="0"/>
        <v>1119.9886576705301</v>
      </c>
      <c r="C11" s="34"/>
      <c r="D11" s="38">
        <f>IF(ISERROR(TER_onderwijs_gas_kWh/1000),0,TER_onderwijs_gas_kWh/1000)*0.902</f>
        <v>2372.9615406366943</v>
      </c>
      <c r="E11" s="34">
        <f>$C$31*'E Balans VL '!I11/100/3.6*1000000</f>
        <v>0.69031375157488539</v>
      </c>
      <c r="F11" s="34">
        <f>$C$31*('E Balans VL '!L11+'E Balans VL '!N11)/100/3.6*1000000</f>
        <v>433.00575290137425</v>
      </c>
      <c r="G11" s="35"/>
      <c r="H11" s="34"/>
      <c r="I11" s="34"/>
      <c r="J11" s="34">
        <f>$C$31*('E Balans VL '!D11+'E Balans VL '!E11)/100/3.6*1000000</f>
        <v>0</v>
      </c>
      <c r="K11" s="34"/>
      <c r="L11" s="34"/>
      <c r="M11" s="34"/>
      <c r="N11" s="34">
        <f>$C$31*'E Balans VL '!Y11/100/3.6*1000000</f>
        <v>3.6430830949574218</v>
      </c>
      <c r="O11" s="34"/>
      <c r="P11" s="34"/>
      <c r="R11" s="33"/>
    </row>
    <row r="12" spans="1:18">
      <c r="A12" s="33" t="s">
        <v>260</v>
      </c>
      <c r="B12" s="38">
        <f t="shared" si="0"/>
        <v>2479.7814658645602</v>
      </c>
      <c r="C12" s="34"/>
      <c r="D12" s="38">
        <f>IF(ISERROR(TER_rest_gas_kWh/1000),0,TER_rest_gas_kWh/1000)*0.902</f>
        <v>5418.2962155172972</v>
      </c>
      <c r="E12" s="34">
        <f>$C$32*'E Balans VL '!I8/100/3.6*1000000</f>
        <v>21.426156705985566</v>
      </c>
      <c r="F12" s="34">
        <f>$C$32*('E Balans VL '!L8+'E Balans VL '!N8)/100/3.6*1000000</f>
        <v>493.94113740171707</v>
      </c>
      <c r="G12" s="35"/>
      <c r="H12" s="34"/>
      <c r="I12" s="34"/>
      <c r="J12" s="34">
        <f>$C$32*('E Balans VL '!D8+'E Balans VL '!E8)/100/3.6*1000000</f>
        <v>0</v>
      </c>
      <c r="K12" s="34"/>
      <c r="L12" s="34"/>
      <c r="M12" s="34"/>
      <c r="N12" s="34">
        <f>$C$32*'E Balans VL '!Y8/100/3.6*1000000</f>
        <v>163.10240813495332</v>
      </c>
      <c r="O12" s="34"/>
      <c r="P12" s="34"/>
      <c r="R12" s="33"/>
    </row>
    <row r="13" spans="1:18">
      <c r="A13" s="17" t="s">
        <v>502</v>
      </c>
      <c r="B13" s="250">
        <f ca="1">'lokale energieproductie'!N91+'lokale energieproductie'!N60</f>
        <v>900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-2250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34772.149210774463</v>
      </c>
      <c r="C16" s="22">
        <f t="shared" ca="1" si="1"/>
        <v>0</v>
      </c>
      <c r="D16" s="22">
        <f t="shared" ca="1" si="1"/>
        <v>43756.247112310841</v>
      </c>
      <c r="E16" s="22">
        <f t="shared" si="1"/>
        <v>271.67380045377007</v>
      </c>
      <c r="F16" s="22">
        <f t="shared" ca="1" si="1"/>
        <v>7924.7422537501434</v>
      </c>
      <c r="G16" s="22">
        <f t="shared" si="1"/>
        <v>0</v>
      </c>
      <c r="H16" s="22">
        <f t="shared" si="1"/>
        <v>0</v>
      </c>
      <c r="I16" s="22">
        <f t="shared" si="1"/>
        <v>0</v>
      </c>
      <c r="J16" s="22">
        <f t="shared" si="1"/>
        <v>0</v>
      </c>
      <c r="K16" s="22">
        <f t="shared" si="1"/>
        <v>0</v>
      </c>
      <c r="L16" s="22">
        <f t="shared" ca="1" si="1"/>
        <v>0</v>
      </c>
      <c r="M16" s="22">
        <f t="shared" si="1"/>
        <v>0</v>
      </c>
      <c r="N16" s="22">
        <f t="shared" ca="1" si="1"/>
        <v>2999.9809058670662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0.17093879438846918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5943.9092643857466</v>
      </c>
      <c r="C20" s="24">
        <f t="shared" ref="C20:P20" ca="1" si="2">C16*C18</f>
        <v>0</v>
      </c>
      <c r="D20" s="24">
        <f t="shared" ca="1" si="2"/>
        <v>8838.7619166867898</v>
      </c>
      <c r="E20" s="24">
        <f t="shared" si="2"/>
        <v>61.669952703005805</v>
      </c>
      <c r="F20" s="24">
        <f t="shared" ca="1" si="2"/>
        <v>2115.9061817512884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6287.5092398936404</v>
      </c>
      <c r="C26" s="40">
        <f>IF(ISERROR(B26*3.6/1000000/'E Balans VL '!Z12*100),0,B26*3.6/1000000/'E Balans VL '!Z12*100)</f>
        <v>0.13360506237967637</v>
      </c>
      <c r="D26" s="240" t="s">
        <v>707</v>
      </c>
      <c r="F26" s="6"/>
    </row>
    <row r="27" spans="1:18">
      <c r="A27" s="234" t="s">
        <v>53</v>
      </c>
      <c r="B27" s="34">
        <f>IF(ISERROR(TER_horeca_ele_kWh/1000),0,TER_horeca_ele_kWh/1000)</f>
        <v>2665.7647809268301</v>
      </c>
      <c r="C27" s="40">
        <f>IF(ISERROR(B27*3.6/1000000/'E Balans VL '!Z9*100),0,B27*3.6/1000000/'E Balans VL '!Z9*100)</f>
        <v>0.20981630252859534</v>
      </c>
      <c r="D27" s="240" t="s">
        <v>707</v>
      </c>
      <c r="F27" s="6"/>
    </row>
    <row r="28" spans="1:18">
      <c r="A28" s="174" t="s">
        <v>52</v>
      </c>
      <c r="B28" s="34">
        <f>IF(ISERROR(TER_handel_ele_kWh/1000),0,TER_handel_ele_kWh/1000)</f>
        <v>10421.204211472901</v>
      </c>
      <c r="C28" s="40">
        <f>IF(ISERROR(B28*3.6/1000000/'E Balans VL '!Z13*100),0,B28*3.6/1000000/'E Balans VL '!Z13*100)</f>
        <v>0.29190350717166336</v>
      </c>
      <c r="D28" s="240" t="s">
        <v>707</v>
      </c>
      <c r="F28" s="6"/>
    </row>
    <row r="29" spans="1:18">
      <c r="A29" s="234" t="s">
        <v>51</v>
      </c>
      <c r="B29" s="34">
        <f>IF(ISERROR(TER_gezond_ele_kWh/1000),0,TER_gezond_ele_kWh/1000)</f>
        <v>6171.1973412735206</v>
      </c>
      <c r="C29" s="40">
        <f>IF(ISERROR(B29*3.6/1000000/'E Balans VL '!Z10*100),0,B29*3.6/1000000/'E Balans VL '!Z10*100)</f>
        <v>0.78948274944089969</v>
      </c>
      <c r="D29" s="240" t="s">
        <v>707</v>
      </c>
      <c r="F29" s="6"/>
    </row>
    <row r="30" spans="1:18">
      <c r="A30" s="234" t="s">
        <v>50</v>
      </c>
      <c r="B30" s="34">
        <f>IF(ISERROR(TER_ander_ele_kWh/1000),0,TER_ander_ele_kWh/1000)</f>
        <v>4726.7035136724808</v>
      </c>
      <c r="C30" s="40">
        <f>IF(ISERROR(B30*3.6/1000000/'E Balans VL '!Z14*100),0,B30*3.6/1000000/'E Balans VL '!Z14*100)</f>
        <v>0.35351759492314572</v>
      </c>
      <c r="D30" s="240" t="s">
        <v>707</v>
      </c>
      <c r="F30" s="6"/>
    </row>
    <row r="31" spans="1:18">
      <c r="A31" s="234" t="s">
        <v>55</v>
      </c>
      <c r="B31" s="34">
        <f>IF(ISERROR(TER_onderwijs_ele_kWh/1000),0,TER_onderwijs_ele_kWh/1000)</f>
        <v>1119.9886576705301</v>
      </c>
      <c r="C31" s="40">
        <f>IF(ISERROR(B31*3.6/1000000/'E Balans VL '!Z11*100),0,B31*3.6/1000000/'E Balans VL '!Z11*100)</f>
        <v>0.2364870558232666</v>
      </c>
      <c r="D31" s="240" t="s">
        <v>707</v>
      </c>
    </row>
    <row r="32" spans="1:18">
      <c r="A32" s="234" t="s">
        <v>260</v>
      </c>
      <c r="B32" s="34">
        <f>IF(ISERROR(TER_rest_ele_kWh/1000),0,TER_rest_ele_kWh/1000)</f>
        <v>2479.7814658645602</v>
      </c>
      <c r="C32" s="40">
        <f>IF(ISERROR(B32*3.6/1000000/'E Balans VL '!Z8*100),0,B32*3.6/1000000/'E Balans VL '!Z8*100)</f>
        <v>2.0428271252928641E-2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49954.726884434276</v>
      </c>
      <c r="C5" s="18">
        <f>IF(ISERROR('Eigen informatie GS &amp; warmtenet'!B59),0,'Eigen informatie GS &amp; warmtenet'!B59)</f>
        <v>0</v>
      </c>
      <c r="D5" s="31">
        <f>SUM(D6:D15)</f>
        <v>21447.977856525751</v>
      </c>
      <c r="E5" s="18">
        <f>SUM(E6:E15)</f>
        <v>1048.2635748233367</v>
      </c>
      <c r="F5" s="18">
        <f>SUM(F6:F15)</f>
        <v>10405.858569243297</v>
      </c>
      <c r="G5" s="19"/>
      <c r="H5" s="18"/>
      <c r="I5" s="18"/>
      <c r="J5" s="18">
        <f>SUM(J6:J15)</f>
        <v>160.03722764047274</v>
      </c>
      <c r="K5" s="18"/>
      <c r="L5" s="18"/>
      <c r="M5" s="18"/>
      <c r="N5" s="18">
        <f>SUM(N6:N15)</f>
        <v>9704.8317154457854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4322.5874283732701</v>
      </c>
      <c r="C8" s="34"/>
      <c r="D8" s="38">
        <f>IF( ISERROR(IND_metaal_Gas_kWH/1000),0,IND_metaal_Gas_kWH/1000)*0.902</f>
        <v>5246.5643508653102</v>
      </c>
      <c r="E8" s="34">
        <f>C30*'E Balans VL '!I18/100/3.6*1000000</f>
        <v>39.365024726537655</v>
      </c>
      <c r="F8" s="34">
        <f>C30*'E Balans VL '!L18/100/3.6*1000000+C30*'E Balans VL '!N18/100/3.6*1000000</f>
        <v>570.11645550969399</v>
      </c>
      <c r="G8" s="35"/>
      <c r="H8" s="34"/>
      <c r="I8" s="34"/>
      <c r="J8" s="41">
        <f>C30*'E Balans VL '!D18/100/3.6*1000000+C30*'E Balans VL '!E18/100/3.6*1000000</f>
        <v>70.884157654373794</v>
      </c>
      <c r="K8" s="34"/>
      <c r="L8" s="34"/>
      <c r="M8" s="34"/>
      <c r="N8" s="34">
        <f>C30*'E Balans VL '!Y18/100/3.6*1000000</f>
        <v>14.855015847867813</v>
      </c>
      <c r="O8" s="34"/>
      <c r="P8" s="34"/>
      <c r="R8" s="33"/>
    </row>
    <row r="9" spans="1:18">
      <c r="A9" s="6" t="s">
        <v>33</v>
      </c>
      <c r="B9" s="38">
        <f t="shared" si="0"/>
        <v>2840.7803534700897</v>
      </c>
      <c r="C9" s="34"/>
      <c r="D9" s="38">
        <f>IF( ISERROR(IND_andere_gas_kWh/1000),0,IND_andere_gas_kWh/1000)*0.902</f>
        <v>3000.8969681034278</v>
      </c>
      <c r="E9" s="34">
        <f>C31*'E Balans VL '!I19/100/3.6*1000000</f>
        <v>16.420134962567669</v>
      </c>
      <c r="F9" s="34">
        <f>C31*'E Balans VL '!L19/100/3.6*1000000+C31*'E Balans VL '!N19/100/3.6*1000000</f>
        <v>2259.9774641269269</v>
      </c>
      <c r="G9" s="35"/>
      <c r="H9" s="34"/>
      <c r="I9" s="34"/>
      <c r="J9" s="41">
        <f>C31*'E Balans VL '!D19/100/3.6*1000000+C31*'E Balans VL '!E19/100/3.6*1000000</f>
        <v>0.26870626694384719</v>
      </c>
      <c r="K9" s="34"/>
      <c r="L9" s="34"/>
      <c r="M9" s="34"/>
      <c r="N9" s="34">
        <f>C31*'E Balans VL '!Y19/100/3.6*1000000</f>
        <v>215.23210217727947</v>
      </c>
      <c r="O9" s="34"/>
      <c r="P9" s="34"/>
      <c r="R9" s="33"/>
    </row>
    <row r="10" spans="1:18">
      <c r="A10" s="6" t="s">
        <v>41</v>
      </c>
      <c r="B10" s="38">
        <f t="shared" si="0"/>
        <v>800.92381774358194</v>
      </c>
      <c r="C10" s="34"/>
      <c r="D10" s="38">
        <f>IF( ISERROR(IND_voed_gas_kWh/1000),0,IND_voed_gas_kWh/1000)*0.902</f>
        <v>573.49121606386598</v>
      </c>
      <c r="E10" s="34">
        <f>C32*'E Balans VL '!I20/100/3.6*1000000</f>
        <v>7.8751764663181811</v>
      </c>
      <c r="F10" s="34">
        <f>C32*'E Balans VL '!L20/100/3.6*1000000+C32*'E Balans VL '!N20/100/3.6*1000000</f>
        <v>88.953044134202528</v>
      </c>
      <c r="G10" s="35"/>
      <c r="H10" s="34"/>
      <c r="I10" s="34"/>
      <c r="J10" s="41">
        <f>C32*'E Balans VL '!D20/100/3.6*1000000+C32*'E Balans VL '!E20/100/3.6*1000000</f>
        <v>3.1568043632622111E-3</v>
      </c>
      <c r="K10" s="34"/>
      <c r="L10" s="34"/>
      <c r="M10" s="34"/>
      <c r="N10" s="34">
        <f>C32*'E Balans VL '!Y20/100/3.6*1000000</f>
        <v>11.859797769377973</v>
      </c>
      <c r="O10" s="34"/>
      <c r="P10" s="34"/>
      <c r="R10" s="33"/>
    </row>
    <row r="11" spans="1:18">
      <c r="A11" s="6" t="s">
        <v>40</v>
      </c>
      <c r="B11" s="38">
        <f t="shared" si="0"/>
        <v>76.269901611439792</v>
      </c>
      <c r="C11" s="34"/>
      <c r="D11" s="38">
        <f>IF( ISERROR(IND_textiel_gas_kWh/1000),0,IND_textiel_gas_kWh/1000)*0.902</f>
        <v>0</v>
      </c>
      <c r="E11" s="34">
        <f>C33*'E Balans VL '!I21/100/3.6*1000000</f>
        <v>0.1485152088307739</v>
      </c>
      <c r="F11" s="34">
        <f>C33*'E Balans VL '!L21/100/3.6*1000000+C33*'E Balans VL '!N21/100/3.6*1000000</f>
        <v>2.5156316351006458</v>
      </c>
      <c r="G11" s="35"/>
      <c r="H11" s="34"/>
      <c r="I11" s="34"/>
      <c r="J11" s="41">
        <f>C33*'E Balans VL '!D21/100/3.6*1000000+C33*'E Balans VL '!E21/100/3.6*1000000</f>
        <v>0</v>
      </c>
      <c r="K11" s="34"/>
      <c r="L11" s="34"/>
      <c r="M11" s="34"/>
      <c r="N11" s="34">
        <f>C33*'E Balans VL '!Y21/100/3.6*1000000</f>
        <v>0.79111948307404489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24239.624732128799</v>
      </c>
      <c r="C13" s="34"/>
      <c r="D13" s="38">
        <f>IF( ISERROR(IND_papier_gas_kWh/1000),0,IND_papier_gas_kWh/1000)*0.902</f>
        <v>0</v>
      </c>
      <c r="E13" s="34">
        <f>C35*'E Balans VL '!I23/100/3.6*1000000</f>
        <v>825.63676355994426</v>
      </c>
      <c r="F13" s="34">
        <f>C35*'E Balans VL '!L23/100/3.6*1000000+C35*'E Balans VL '!N23/100/3.6*1000000</f>
        <v>4003.8171140009326</v>
      </c>
      <c r="G13" s="35"/>
      <c r="H13" s="34"/>
      <c r="I13" s="34"/>
      <c r="J13" s="41">
        <f>C35*'E Balans VL '!D23/100/3.6*1000000+C35*'E Balans VL '!E23/100/3.6*1000000</f>
        <v>0</v>
      </c>
      <c r="K13" s="34"/>
      <c r="L13" s="34"/>
      <c r="M13" s="34"/>
      <c r="N13" s="34">
        <f>C35*'E Balans VL '!Y23/100/3.6*1000000</f>
        <v>8919.5318450804843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17674.540651107098</v>
      </c>
      <c r="C15" s="34"/>
      <c r="D15" s="38">
        <f>IF( ISERROR(IND_rest_gas_kWh/1000),0,IND_rest_gas_kWh/1000)*0.902</f>
        <v>12627.025321493147</v>
      </c>
      <c r="E15" s="34">
        <f>C37*'E Balans VL '!I15/100/3.6*1000000</f>
        <v>158.81795989913834</v>
      </c>
      <c r="F15" s="34">
        <f>C37*'E Balans VL '!L15/100/3.6*1000000+C37*'E Balans VL '!N15/100/3.6*1000000</f>
        <v>3480.4788598364398</v>
      </c>
      <c r="G15" s="35"/>
      <c r="H15" s="34"/>
      <c r="I15" s="34"/>
      <c r="J15" s="41">
        <f>C37*'E Balans VL '!D15/100/3.6*1000000+C37*'E Balans VL '!E15/100/3.6*1000000</f>
        <v>88.881206914791818</v>
      </c>
      <c r="K15" s="34"/>
      <c r="L15" s="34"/>
      <c r="M15" s="34"/>
      <c r="N15" s="34">
        <f>C37*'E Balans VL '!Y15/100/3.6*1000000</f>
        <v>542.56183508770152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49954.726884434276</v>
      </c>
      <c r="C18" s="22">
        <f>C5+C16</f>
        <v>0</v>
      </c>
      <c r="D18" s="22">
        <f>MAX((D5+D16),0)</f>
        <v>21447.977856525751</v>
      </c>
      <c r="E18" s="22">
        <f>MAX((E5+E16),0)</f>
        <v>1048.2635748233367</v>
      </c>
      <c r="F18" s="22">
        <f>MAX((F5+F16),0)</f>
        <v>10405.858569243297</v>
      </c>
      <c r="G18" s="22"/>
      <c r="H18" s="22"/>
      <c r="I18" s="22"/>
      <c r="J18" s="22">
        <f>MAX((J5+J16),0)</f>
        <v>160.03722764047274</v>
      </c>
      <c r="K18" s="22"/>
      <c r="L18" s="22">
        <f>MAX((L5+L16),0)</f>
        <v>0</v>
      </c>
      <c r="M18" s="22"/>
      <c r="N18" s="22">
        <f>MAX((N5+N16),0)</f>
        <v>9704.8317154457854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0.17093879438846918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8539.2007876304451</v>
      </c>
      <c r="C22" s="24">
        <f ca="1">C18*C20</f>
        <v>0</v>
      </c>
      <c r="D22" s="24">
        <f>D18*D20</f>
        <v>4332.4915270182019</v>
      </c>
      <c r="E22" s="24">
        <f>E18*E20</f>
        <v>237.95583148489746</v>
      </c>
      <c r="F22" s="24">
        <f>F18*F20</f>
        <v>2778.3642379879607</v>
      </c>
      <c r="G22" s="24"/>
      <c r="H22" s="24"/>
      <c r="I22" s="24"/>
      <c r="J22" s="24">
        <f>J18*J20</f>
        <v>56.653178584727343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4322.5874283732701</v>
      </c>
      <c r="C30" s="40">
        <f>IF(ISERROR(B30*3.6/1000000/'E Balans VL '!Z18*100),0,B30*3.6/1000000/'E Balans VL '!Z18*100)</f>
        <v>0.24052308549483542</v>
      </c>
      <c r="D30" s="240" t="s">
        <v>707</v>
      </c>
    </row>
    <row r="31" spans="1:18">
      <c r="A31" s="6" t="s">
        <v>33</v>
      </c>
      <c r="B31" s="38">
        <f>IF( ISERROR(IND_ander_ele_kWh/1000),0,IND_ander_ele_kWh/1000)</f>
        <v>2840.7803534700897</v>
      </c>
      <c r="C31" s="40">
        <f>IF(ISERROR(B31*3.6/1000000/'E Balans VL '!Z19*100),0,B31*3.6/1000000/'E Balans VL '!Z19*100)</f>
        <v>0.13206041788366554</v>
      </c>
      <c r="D31" s="240" t="s">
        <v>707</v>
      </c>
    </row>
    <row r="32" spans="1:18">
      <c r="A32" s="174" t="s">
        <v>41</v>
      </c>
      <c r="B32" s="38">
        <f>IF( ISERROR(IND_voed_ele_kWh/1000),0,IND_voed_ele_kWh/1000)</f>
        <v>800.92381774358194</v>
      </c>
      <c r="C32" s="40">
        <f>IF(ISERROR(B32*3.6/1000000/'E Balans VL '!Z20*100),0,B32*3.6/1000000/'E Balans VL '!Z20*100)</f>
        <v>2.8311039423082409E-2</v>
      </c>
      <c r="D32" s="240" t="s">
        <v>707</v>
      </c>
    </row>
    <row r="33" spans="1:5">
      <c r="A33" s="174" t="s">
        <v>40</v>
      </c>
      <c r="B33" s="38">
        <f>IF( ISERROR(IND_textiel_ele_kWh/1000),0,IND_textiel_ele_kWh/1000)</f>
        <v>76.269901611439792</v>
      </c>
      <c r="C33" s="40">
        <f>IF(ISERROR(B33*3.6/1000000/'E Balans VL '!Z21*100),0,B33*3.6/1000000/'E Balans VL '!Z21*100)</f>
        <v>1.0301407527278044E-2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24239.624732128799</v>
      </c>
      <c r="C35" s="40">
        <f>IF(ISERROR(B35*3.6/1000000/'E Balans VL '!Z22*100),0,B35*3.6/1000000/'E Balans VL '!Z22*100)</f>
        <v>4.8714810368330346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17674.540651107098</v>
      </c>
      <c r="C37" s="40">
        <f>IF(ISERROR(B37*3.6/1000000/'E Balans VL '!Z15*100),0,B37*3.6/1000000/'E Balans VL '!Z15*100)</f>
        <v>0.13346889116050886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2316.5949669778961</v>
      </c>
      <c r="C5" s="18">
        <f>'Eigen informatie GS &amp; warmtenet'!B60</f>
        <v>0</v>
      </c>
      <c r="D5" s="31">
        <f>IF(ISERROR(SUM(LB_lb_gas_kWh,LB_rest_gas_kWh)/1000),0,SUM(LB_lb_gas_kWh,LB_rest_gas_kWh)/1000)*0.902</f>
        <v>241.14401768477612</v>
      </c>
      <c r="E5" s="18">
        <f>B17*'E Balans VL '!I25/3.6*1000000/100</f>
        <v>21.823876758475627</v>
      </c>
      <c r="F5" s="18">
        <f>B17*('E Balans VL '!L25/3.6*1000000+'E Balans VL '!N25/3.6*1000000)/100</f>
        <v>7559.8181875989821</v>
      </c>
      <c r="G5" s="19"/>
      <c r="H5" s="18"/>
      <c r="I5" s="18"/>
      <c r="J5" s="18">
        <f>('E Balans VL '!D25+'E Balans VL '!E25)/3.6*1000000*landbouw!B17/100</f>
        <v>286.57406533092069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2316.5949669778961</v>
      </c>
      <c r="C8" s="22">
        <f>C5+C6</f>
        <v>0</v>
      </c>
      <c r="D8" s="22">
        <f>MAX((D5+D6),0)</f>
        <v>241.14401768477612</v>
      </c>
      <c r="E8" s="22">
        <f>MAX((E5+E6),0)</f>
        <v>21.823876758475627</v>
      </c>
      <c r="F8" s="22">
        <f>MAX((F5+F6),0)</f>
        <v>7559.8181875989821</v>
      </c>
      <c r="G8" s="22"/>
      <c r="H8" s="22"/>
      <c r="I8" s="22"/>
      <c r="J8" s="22">
        <f>MAX((J5+J6),0)</f>
        <v>286.57406533092069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0.17093879438846918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395.99595074159714</v>
      </c>
      <c r="C12" s="24">
        <f ca="1">C8*C10</f>
        <v>0</v>
      </c>
      <c r="D12" s="24">
        <f>D8*D10</f>
        <v>48.711091572324776</v>
      </c>
      <c r="E12" s="24">
        <f>E8*E10</f>
        <v>4.9540200241739676</v>
      </c>
      <c r="F12" s="24">
        <f>F8*F10</f>
        <v>2018.4714560889283</v>
      </c>
      <c r="G12" s="24"/>
      <c r="H12" s="24"/>
      <c r="I12" s="24"/>
      <c r="J12" s="24">
        <f>J8*J10</f>
        <v>101.44721912714591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0.31362994052458826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384.01974010532422</v>
      </c>
      <c r="C26" s="250">
        <f>B26*'GWP N2O_CH4'!B5</f>
        <v>8064.414542211809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238.475365886974</v>
      </c>
      <c r="C27" s="250">
        <f>B27*'GWP N2O_CH4'!B5</f>
        <v>5007.9826836264538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5.279382386665084</v>
      </c>
      <c r="C28" s="250">
        <f>B28*'GWP N2O_CH4'!B4</f>
        <v>1636.608539866176</v>
      </c>
      <c r="D28" s="51"/>
    </row>
    <row r="29" spans="1:4">
      <c r="A29" s="42" t="s">
        <v>277</v>
      </c>
      <c r="B29" s="250">
        <f>B34*'ha_N2O bodem landbouw'!B4</f>
        <v>9.0286522662279456</v>
      </c>
      <c r="C29" s="250">
        <f>B29*'GWP N2O_CH4'!B4</f>
        <v>2798.8822025306631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2.4374518874990137E-3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8.0401046090414534E-6</v>
      </c>
      <c r="C5" s="447" t="s">
        <v>211</v>
      </c>
      <c r="D5" s="432">
        <f>SUM(D6:D11)</f>
        <v>2.1868432034357015E-5</v>
      </c>
      <c r="E5" s="432">
        <f>SUM(E6:E11)</f>
        <v>1.2715329278708235E-3</v>
      </c>
      <c r="F5" s="445" t="s">
        <v>211</v>
      </c>
      <c r="G5" s="432">
        <f>SUM(G6:G11)</f>
        <v>0.33144381784080207</v>
      </c>
      <c r="H5" s="432">
        <f>SUM(H6:H11)</f>
        <v>4.8687852380748797E-2</v>
      </c>
      <c r="I5" s="447" t="s">
        <v>211</v>
      </c>
      <c r="J5" s="447" t="s">
        <v>211</v>
      </c>
      <c r="K5" s="447" t="s">
        <v>211</v>
      </c>
      <c r="L5" s="447" t="s">
        <v>211</v>
      </c>
      <c r="M5" s="432">
        <f>SUM(M6:M11)</f>
        <v>1.6986492473735668E-2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6.8880011995565165E-6</v>
      </c>
      <c r="C6" s="433"/>
      <c r="D6" s="433">
        <f>vkm_2011_GW_PW*SUMIFS(TableVerdeelsleutelVkm[CNG],TableVerdeelsleutelVkm[Voertuigtype],"Lichte voertuigen")*SUMIFS(TableECFTransport[EnergieConsumptieFactor (PJ per km)],TableECFTransport[Index],CONCATENATE($A6,"_CNG_CNG"))</f>
        <v>1.6820614283406316E-5</v>
      </c>
      <c r="E6" s="435">
        <f>vkm_2011_GW_PW*SUMIFS(TableVerdeelsleutelVkm[LPG],TableVerdeelsleutelVkm[Voertuigtype],"Lichte voertuigen")*SUMIFS(TableECFTransport[EnergieConsumptieFactor (PJ per km)],TableECFTransport[Index],CONCATENATE($A6,"_LPG_LPG"))</f>
        <v>9.9703908812340302E-4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0.14413372883400852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3.7773309442069809E-2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8.1461321763608152E-3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0.13253533018247821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5.3472838610423826E-5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5.9044079534853692E-3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1.1521034094849373E-6</v>
      </c>
      <c r="C8" s="433"/>
      <c r="D8" s="435">
        <f>vkm_2011_NGW_PW*SUMIFS(TableVerdeelsleutelVkm[CNG],TableVerdeelsleutelVkm[Voertuigtype],"Lichte voertuigen")*SUMIFS(TableECFTransport[EnergieConsumptieFactor (PJ per km)],TableECFTransport[Index],CONCATENATE($A8,"_CNG_CNG"))</f>
        <v>5.0478177509506983E-6</v>
      </c>
      <c r="E8" s="435">
        <f>vkm_2011_NGW_PW*SUMIFS(TableVerdeelsleutelVkm[LPG],TableVerdeelsleutelVkm[Voertuigtype],"Lichte voertuigen")*SUMIFS(TableECFTransport[EnergieConsumptieFactor (PJ per km)],TableECFTransport[Index],CONCATENATE($A8,"_LPG_LPG"))</f>
        <v>2.7449383974742042E-4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3.7486340016384005E-2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1.0854996821550505E-2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2.165799887294882E-3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1.7288418807931284E-2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6.0732785180599811E-6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7.701524565946014E-4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2.2333623914004037</v>
      </c>
      <c r="C14" s="22"/>
      <c r="D14" s="22">
        <f t="shared" ref="D14:M14" si="0">((D5)*10^9/3600)+D12</f>
        <v>6.0745644539880592</v>
      </c>
      <c r="E14" s="22">
        <f t="shared" si="0"/>
        <v>353.20359107522876</v>
      </c>
      <c r="F14" s="22"/>
      <c r="G14" s="22">
        <f t="shared" si="0"/>
        <v>92067.727178000583</v>
      </c>
      <c r="H14" s="22">
        <f t="shared" si="0"/>
        <v>13524.40343909689</v>
      </c>
      <c r="I14" s="22"/>
      <c r="J14" s="22"/>
      <c r="K14" s="22"/>
      <c r="L14" s="22"/>
      <c r="M14" s="22">
        <f t="shared" si="0"/>
        <v>4718.4701315932407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0.17093879438846918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0.38176827461853341</v>
      </c>
      <c r="C18" s="24"/>
      <c r="D18" s="24">
        <f t="shared" ref="D18:M18" si="1">D14*D16</f>
        <v>1.2270620197055881</v>
      </c>
      <c r="E18" s="24">
        <f t="shared" si="1"/>
        <v>80.177215174076935</v>
      </c>
      <c r="F18" s="24"/>
      <c r="G18" s="24">
        <f t="shared" si="1"/>
        <v>24582.083156526158</v>
      </c>
      <c r="H18" s="24">
        <f t="shared" si="1"/>
        <v>3367.5764563351254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5.1553056690534721E-3</v>
      </c>
      <c r="H50" s="323">
        <f t="shared" si="2"/>
        <v>0</v>
      </c>
      <c r="I50" s="323">
        <f t="shared" si="2"/>
        <v>0</v>
      </c>
      <c r="J50" s="323">
        <f t="shared" si="2"/>
        <v>0</v>
      </c>
      <c r="K50" s="323">
        <f t="shared" si="2"/>
        <v>0</v>
      </c>
      <c r="L50" s="323">
        <f t="shared" si="2"/>
        <v>0</v>
      </c>
      <c r="M50" s="323">
        <f t="shared" si="2"/>
        <v>2.263779761367866E-4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5.1553056690534721E-3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2.263779761367866E-4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1432.0293525148536</v>
      </c>
      <c r="H54" s="22">
        <f t="shared" si="3"/>
        <v>0</v>
      </c>
      <c r="I54" s="22">
        <f t="shared" si="3"/>
        <v>0</v>
      </c>
      <c r="J54" s="22">
        <f t="shared" si="3"/>
        <v>0</v>
      </c>
      <c r="K54" s="22">
        <f t="shared" si="3"/>
        <v>0</v>
      </c>
      <c r="L54" s="22">
        <f t="shared" si="3"/>
        <v>0</v>
      </c>
      <c r="M54" s="22">
        <f t="shared" si="3"/>
        <v>62.882771149107391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0.17093879438846918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382.35183712146591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25163.10760361041</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2812.2931988614746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900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28875.400802471886</v>
      </c>
      <c r="C10" s="570">
        <f t="shared" ref="C10:L10" si="0">SUM(C8:C9)</f>
        <v>0</v>
      </c>
      <c r="D10" s="570">
        <f t="shared" si="0"/>
        <v>0</v>
      </c>
      <c r="E10" s="570">
        <f t="shared" si="0"/>
        <v>0</v>
      </c>
      <c r="F10" s="570">
        <f t="shared" si="0"/>
        <v>0</v>
      </c>
      <c r="G10" s="570">
        <f t="shared" si="0"/>
        <v>0</v>
      </c>
      <c r="H10" s="570">
        <f t="shared" si="0"/>
        <v>0</v>
      </c>
      <c r="I10" s="570">
        <f t="shared" si="0"/>
        <v>2250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43005</v>
      </c>
      <c r="C64" s="789">
        <v>9900</v>
      </c>
      <c r="D64" s="644" t="s">
        <v>948</v>
      </c>
      <c r="E64" s="644" t="s">
        <v>949</v>
      </c>
      <c r="F64" s="644" t="s">
        <v>950</v>
      </c>
      <c r="G64" s="644" t="s">
        <v>951</v>
      </c>
      <c r="H64" s="644" t="s">
        <v>952</v>
      </c>
      <c r="I64" s="644" t="s">
        <v>953</v>
      </c>
      <c r="J64" s="788">
        <v>39066</v>
      </c>
      <c r="K64" s="788">
        <v>39142</v>
      </c>
      <c r="L64" s="644" t="s">
        <v>954</v>
      </c>
      <c r="M64" s="644">
        <v>200</v>
      </c>
      <c r="N64" s="644">
        <v>900</v>
      </c>
      <c r="O64" s="644">
        <v>0</v>
      </c>
      <c r="P64" s="644">
        <v>0</v>
      </c>
      <c r="Q64" s="644">
        <v>0</v>
      </c>
      <c r="R64" s="644">
        <v>0</v>
      </c>
      <c r="S64" s="644">
        <v>0</v>
      </c>
      <c r="T64" s="644">
        <v>0</v>
      </c>
      <c r="U64" s="644">
        <v>2250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200</v>
      </c>
      <c r="N89" s="599">
        <f t="shared" ref="N89:W89" si="5">SUM(N64:N88)</f>
        <v>900</v>
      </c>
      <c r="O89" s="599">
        <f t="shared" si="5"/>
        <v>0</v>
      </c>
      <c r="P89" s="599">
        <f t="shared" si="5"/>
        <v>0</v>
      </c>
      <c r="Q89" s="599">
        <f t="shared" si="5"/>
        <v>0</v>
      </c>
      <c r="R89" s="599">
        <f t="shared" si="5"/>
        <v>0</v>
      </c>
      <c r="S89" s="599">
        <f t="shared" si="5"/>
        <v>0</v>
      </c>
      <c r="T89" s="599">
        <f t="shared" si="5"/>
        <v>0</v>
      </c>
      <c r="U89" s="599">
        <f t="shared" si="5"/>
        <v>2250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200</v>
      </c>
      <c r="N91" s="599">
        <f t="shared" si="7"/>
        <v>900</v>
      </c>
      <c r="O91" s="599">
        <f t="shared" si="7"/>
        <v>0</v>
      </c>
      <c r="P91" s="599">
        <f t="shared" si="7"/>
        <v>0</v>
      </c>
      <c r="Q91" s="599">
        <f t="shared" si="7"/>
        <v>0</v>
      </c>
      <c r="R91" s="599">
        <f t="shared" si="7"/>
        <v>0</v>
      </c>
      <c r="S91" s="599">
        <f t="shared" si="7"/>
        <v>0</v>
      </c>
      <c r="T91" s="599">
        <f t="shared" si="7"/>
        <v>0</v>
      </c>
      <c r="U91" s="599">
        <f t="shared" si="7"/>
        <v>2250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2019-08-12T07:55:27Z</dcterms:modified>
</cp:coreProperties>
</file>