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<sst xmlns="http://schemas.openxmlformats.org/spreadsheetml/2006/main" count="2504" uniqueCount="957">
  <si>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</si>
  <si>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</si>
  <si>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</si>
  <si>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</si>
  <si>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</si>
  <si>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</si>
  <si>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</si>
  <si>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</si>
  <si>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</si>
  <si>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</si>
  <si>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</si>
  <si>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</si>
  <si>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</si>
  <si>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</si>
  <si>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</si>
  <si>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</si>
  <si>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</si>
  <si>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</si>
  <si>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</si>
  <si>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</si>
  <si>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</si>
  <si>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</si>
  <si>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</si>
  <si>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</si>
  <si>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</si>
  <si>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</si>
  <si>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</si>
  <si>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</si>
  <si>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</si>
  <si>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</si>
  <si>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</si>
  <si>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</si>
  <si>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</si>
  <si>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</si>
  <si>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</si>
  <si>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</si>
  <si>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</si>
  <si>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</si>
  <si>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</si>
  <si>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</si>
  <si>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</si>
  <si>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</si>
  <si>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</si>
  <si>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</si>
  <si>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</si>
  <si>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</si>
  <si>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</si>
  <si>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</si>
  <si>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</si>
  <si>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</si>
  <si>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</si>
  <si>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</si>
  <si>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</si>
  <si>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</si>
  <si>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</si>
  <si>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</si>
  <si>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</si>
  <si>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</si>
  <si>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</si>
  <si>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</si>
  <si>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</si>
  <si>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</si>
  <si>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</si>
  <si>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</si>
  <si>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</si>
  <si>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</si>
  <si>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</si>
  <si>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</si>
  <si>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</si>
  <si>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</si>
  <si>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</si>
  <si>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</si>
  <si>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</si>
  <si>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</si>
  <si>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</si>
  <si>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</si>
  <si>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</si>
  <si>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</si>
  <si>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</si>
  <si>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</si>
  <si>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</si>
  <si>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</si>
  <si>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</si>
  <si>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</si>
  <si>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</si>
  <si>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</si>
  <si>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</si>
  <si>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</si>
  <si>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</si>
  <si>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</si>
  <si>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</si>
  <si>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</si>
  <si>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</si>
  <si>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</si>
  <si>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</si>
  <si>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</si>
  <si>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</si>
  <si>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</si>
  <si>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</si>
  <si>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</si>
  <si>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</si>
  <si>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</si>
  <si>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</si>
  <si>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</si>
  <si>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</si>
  <si>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</si>
  <si>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</si>
  <si>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</si>
  <si>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</si>
  <si>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</si>
  <si>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</si>
  <si>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</si>
  <si>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</si>
  <si>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</si>
  <si>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</si>
  <si>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</si>
  <si>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</si>
  <si>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</si>
  <si>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</si>
  <si>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</si>
  <si>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</si>
  <si>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</si>
  <si>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</si>
  <si>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</si>
  <si>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</si>
  <si>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</si>
  <si>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</si>
  <si>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</si>
  <si>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</si>
  <si>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</si>
  <si>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</si>
  <si>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</si>
  <si>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</si>
  <si>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</si>
  <si>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</si>
  <si>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</si>
  <si>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</si>
  <si>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</si>
  <si>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</si>
  <si>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</si>
  <si>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</si>
  <si>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</si>
  <si>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</si>
  <si>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</si>
  <si>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</si>
  <si>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</si>
  <si>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</si>
  <si>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</si>
  <si>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</si>
  <si>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</si>
  <si>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</si>
  <si>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</si>
  <si>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</si>
  <si>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</si>
  <si>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</si>
  <si>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</si>
  <si>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</si>
  <si>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</si>
  <si>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</si>
  <si>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</si>
  <si>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</si>
  <si>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</si>
  <si>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</si>
  <si>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</si>
  <si>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</si>
  <si>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</si>
  <si>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</si>
  <si>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</si>
  <si>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</si>
  <si>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</si>
  <si>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</si>
  <si>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</si>
  <si>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</si>
  <si>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</si>
  <si>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</si>
  <si>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</si>
  <si>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</si>
  <si>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</si>
  <si>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</si>
  <si>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</si>
  <si>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</si>
  <si>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</si>
  <si>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</si>
  <si>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</si>
  <si>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</si>
  <si>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</si>
  <si>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</si>
  <si>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</si>
  <si>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</si>
  <si>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</si>
  <si>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</si>
  <si>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</si>
  <si>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</si>
  <si>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</si>
  <si>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</si>
  <si>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</si>
  <si>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</si>
  <si>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</si>
  <si>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</si>
  <si>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</si>
  <si>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</si>
  <si>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</si>
  <si>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</si>
  <si>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</si>
  <si>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</si>
  <si>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</si>
  <si>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</si>
  <si>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</si>
  <si>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</si>
  <si>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</si>
  <si>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</si>
  <si>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</si>
  <si>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</si>
  <si>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</si>
  <si>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</si>
  <si>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</si>
  <si>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</si>
  <si>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</si>
  <si>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</si>
  <si>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</si>
  <si>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</si>
  <si>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</si>
  <si>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</si>
  <si>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</si>
  <si>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</si>
  <si>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</si>
  <si>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</si>
  <si>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</si>
  <si>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</si>
  <si>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</si>
  <si>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</si>
  <si>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</si>
  <si>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</si>
  <si>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</si>
  <si>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</si>
  <si>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</si>
  <si>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</si>
  <si>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</si>
  <si>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</si>
  <si>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</si>
  <si>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</si>
  <si>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</si>
  <si>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</si>
  <si>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</si>
  <si>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</si>
  <si>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</si>
  <si>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</si>
  <si>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</si>
  <si>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</si>
  <si>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</si>
  <si>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</si>
  <si>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</si>
  <si>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</si>
  <si>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</si>
  <si>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</si>
  <si>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</si>
  <si>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</si>
  <si>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</si>
  <si>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</si>
  <si>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</si>
  <si>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</si>
  <si>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</si>
  <si>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</si>
  <si>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</si>
  <si>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</si>
  <si>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</si>
  <si>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</si>
  <si>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</si>
  <si>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</si>
  <si>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</si>
  <si>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</si>
  <si>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</si>
  <si>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</si>
  <si>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</si>
  <si>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</si>
  <si>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</si>
  <si>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</si>
  <si>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</si>
  <si>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</si>
  <si>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</si>
  <si>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</si>
  <si>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</si>
  <si>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</si>
  <si>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</si>
  <si>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</si>
  <si>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</si>
  <si>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</si>
  <si>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</si>
  <si>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</si>
  <si>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</si>
  <si>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</si>
  <si>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</si>
  <si>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</si>
  <si>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</si>
  <si>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</si>
  <si>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</si>
  <si>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</si>
  <si>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</si>
  <si>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</si>
  <si>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</si>
  <si>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</si>
  <si>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</si>
  <si>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</si>
  <si>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</si>
  <si>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</si>
  <si>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</si>
  <si>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</si>
  <si>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</si>
  <si>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</si>
  <si>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</si>
  <si>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</si>
  <si>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</si>
  <si>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</si>
  <si>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</si>
  <si>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</si>
  <si>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</si>
  <si>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</si>
  <si>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</si>
  <si>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</si>
  <si>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</si>
  <si>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</si>
  <si>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</si>
  <si>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</si>
  <si>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</si>
  <si>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</si>
  <si>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</si>
  <si>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</si>
  <si>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</si>
  <si>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</si>
  <si>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</si>
  <si>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</si>
  <si>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</si>
  <si>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</si>
  <si>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</si>
  <si>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</si>
  <si>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</si>
  <si>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</si>
  <si>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</si>
  <si>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</si>
  <si>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</si>
  <si>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</si>
  <si>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</si>
  <si>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</si>
  <si>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</si>
  <si>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</si>
  <si>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</si>
  <si>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</si>
  <si>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</si>
  <si>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</si>
  <si>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</si>
  <si>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</si>
  <si>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</si>
  <si>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</si>
  <si>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</si>
  <si>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</si>
  <si>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</si>
  <si>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</si>
  <si>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</si>
  <si>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</si>
  <si>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</si>
  <si>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</si>
  <si>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</si>
  <si>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</si>
  <si>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</si>
  <si>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</si>
  <si>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</si>
  <si>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</si>
  <si>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</si>
  <si>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</si>
  <si>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</si>
  <si>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</si>
  <si>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</si>
  <si>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</si>
  <si>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</si>
  <si>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</si>
  <si>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</si>
  <si>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</si>
  <si>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</si>
  <si>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</si>
  <si>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</si>
  <si>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</si>
  <si>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</si>
  <si>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</si>
  <si>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</si>
  <si>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</si>
  <si>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</si>
  <si>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</si>
  <si>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</si>
  <si>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</si>
  <si>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</si>
  <si>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</si>
  <si>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</si>
  <si>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</si>
  <si>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</si>
  <si>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</si>
  <si>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</si>
  <si>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</si>
  <si>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</si>
  <si>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</si>
  <si>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</si>
  <si>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</si>
  <si>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</si>
  <si>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</si>
  <si>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</si>
  <si>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</si>
  <si>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</si>
  <si>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</si>
  <si>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</si>
  <si>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</si>
  <si>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</si>
  <si>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</si>
  <si>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</si>
  <si>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</si>
  <si>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</si>
  <si>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</si>
  <si>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</si>
  <si>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</si>
  <si>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</si>
  <si>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</si>
  <si>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</si>
  <si>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</si>
  <si>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</si>
  <si>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</si>
  <si>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</si>
  <si>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</si>
  <si>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</si>
  <si>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</si>
  <si>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</si>
  <si>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</si>
  <si>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</si>
  <si>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</si>
  <si>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</si>
  <si>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</si>
  <si>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</si>
  <si>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</si>
  <si>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</si>
  <si>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</si>
  <si>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</si>
  <si>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</si>
  <si>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</si>
  <si>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</si>
  <si>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</si>
  <si>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</si>
  <si>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</si>
  <si>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</si>
  <si>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</si>
  <si>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</si>
  <si>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</si>
  <si>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</si>
  <si>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</si>
  <si>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</si>
  <si>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</si>
  <si>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</si>
  <si>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</si>
  <si>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</si>
  <si>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</si>
  <si>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</si>
  <si>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</si>
  <si>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</si>
  <si>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</si>
  <si>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</si>
  <si>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</si>
  <si>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</si>
  <si>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</si>
  <si>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</si>
  <si>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</si>
  <si>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</si>
  <si>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</si>
  <si>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</si>
  <si>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</si>
  <si>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</si>
  <si>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</si>
  <si>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</si>
  <si>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</si>
  <si>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</si>
  <si>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</si>
  <si>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</si>
  <si>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</si>
  <si>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</si>
  <si>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</si>
  <si>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</si>
  <si>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</si>
  <si>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</si>
  <si>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</si>
  <si>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</si>
  <si>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</si>
  <si>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</si>
  <si>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</si>
  <si>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</si>
  <si>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</si>
  <si>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</si>
  <si>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</si>
  <si>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</si>
  <si>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</si>
  <si>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</si>
  <si>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</si>
  <si>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</si>
  <si>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</si>
  <si>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</si>
  <si>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</si>
  <si>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</si>
  <si>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</si>
  <si>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</si>
  <si>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</si>
  <si>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</si>
  <si>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</si>
  <si>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</si>
  <si>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</si>
  <si>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</si>
  <si>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</si>
  <si>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</si>
  <si>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</si>
  <si>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</si>
  <si>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</si>
  <si>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</si>
  <si>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</si>
  <si>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</si>
  <si>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</si>
  <si>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</si>
  <si>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</si>
  <si>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</si>
  <si>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</si>
  <si>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</si>
  <si>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</si>
  <si>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</si>
  <si>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</si>
  <si>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</si>
  <si>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</si>
  <si>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</si>
  <si>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</si>
  <si>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</si>
  <si>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</si>
  <si>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</si>
  <si>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</si>
  <si>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</si>
  <si>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</si>
  <si>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</si>
  <si>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</si>
  <si>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</si>
  <si>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</si>
  <si>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</si>
  <si>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</si>
  <si>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</si>
  <si>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</si>
  <si>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</si>
  <si>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</si>
  <si>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</si>
  <si>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</si>
  <si>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</si>
  <si>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</si>
  <si>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</si>
  <si>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</si>
  <si>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</si>
  <si>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</si>
  <si>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</si>
  <si>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</si>
  <si>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</si>
  <si>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</si>
  <si>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</si>
  <si>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</si>
  <si>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</si>
  <si>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</si>
  <si>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</si>
  <si>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</si>
  <si>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</si>
  <si>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</si>
  <si>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</si>
  <si>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</si>
  <si>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</si>
  <si>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</si>
  <si>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</si>
  <si>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</si>
  <si>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</si>
  <si>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</si>
  <si>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</si>
  <si>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</si>
  <si>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</si>
  <si>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</si>
  <si>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</si>
  <si>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</si>
  <si>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</si>
  <si>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</si>
  <si>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</si>
  <si>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</si>
  <si>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</si>
  <si>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</si>
  <si>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</si>
  <si>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</si>
  <si>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</si>
  <si>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</si>
  <si>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</si>
  <si>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</si>
  <si>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</si>
  <si>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</si>
  <si>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</si>
  <si>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</si>
  <si>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</si>
  <si>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</si>
  <si>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</si>
  <si>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</si>
  <si>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</si>
  <si>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</si>
  <si>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</si>
  <si>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</si>
  <si>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</si>
  <si>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</si>
  <si>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</si>
  <si>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</si>
  <si>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</si>
  <si>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</si>
  <si>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</si>
  <si>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</si>
  <si>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</si>
  <si>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</si>
  <si>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</si>
  <si>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</si>
  <si>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</si>
  <si>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</si>
  <si>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</si>
  <si>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</si>
  <si>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</si>
  <si>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</si>
  <si>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</si>
  <si>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</si>
  <si>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</si>
  <si>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</si>
  <si>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</si>
  <si>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</si>
  <si>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</si>
  <si>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</si>
  <si>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</si>
  <si>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</si>
  <si>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</si>
  <si>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</si>
  <si>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</si>
  <si>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</si>
  <si>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</si>
  <si>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</si>
  <si>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</si>
  <si>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</si>
  <si>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</si>
  <si>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</si>
  <si>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</si>
  <si>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</si>
  <si>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</si>
  <si>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</si>
  <si>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</si>
  <si>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</si>
  <si>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</si>
  <si>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</si>
  <si>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</si>
  <si>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</si>
  <si>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</si>
  <si>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</si>
  <si>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</si>
  <si>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</si>
  <si>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</si>
  <si>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</si>
  <si>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</si>
  <si>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</si>
  <si>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</si>
  <si>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</si>
  <si>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</si>
  <si>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</si>
  <si>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</si>
  <si>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</si>
  <si>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</si>
  <si>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</si>
  <si>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</si>
  <si>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</si>
  <si>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</si>
  <si>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</si>
  <si>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</si>
  <si>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</si>
  <si>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</si>
  <si>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</si>
  <si>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</si>
  <si>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</si>
  <si>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</si>
  <si>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</si>
  <si>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</si>
  <si>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</si>
  <si>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</si>
  <si>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</si>
  <si>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</si>
  <si>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</si>
  <si>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</si>
  <si>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</si>
  <si>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</si>
  <si>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</si>
  <si>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</si>
  <si>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</si>
  <si>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</si>
  <si>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</si>
  <si>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</si>
  <si>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</si>
  <si>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</si>
  <si>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</si>
  <si>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</si>
  <si>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</si>
  <si>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</si>
  <si>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</si>
  <si>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</si>
  <si>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</si>
  <si>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</si>
  <si>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</si>
  <si>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</si>
  <si>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</si>
  <si>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</si>
  <si>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</si>
  <si>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</si>
  <si>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</si>
  <si>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</si>
  <si>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</si>
  <si>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</si>
  <si>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</si>
  <si>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</si>
  <si>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</si>
  <si>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</si>
  <si>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</si>
  <si>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</si>
  <si>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</si>
  <si>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</si>
  <si>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</si>
  <si>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</si>
  <si>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</si>
  <si>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</si>
  <si>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</si>
  <si>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</si>
  <si>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</si>
  <si>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</si>
  <si>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</si>
  <si>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</si>
  <si>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</si>
  <si>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</si>
  <si>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</si>
  <si>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</si>
  <si>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</si>
  <si>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</si>
  <si>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</si>
  <si>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</si>
  <si>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</si>
  <si>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</si>
  <si>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</si>
  <si>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</si>
  <si>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</si>
  <si>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</si>
  <si>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</si>
  <si>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</si>
  <si>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</si>
  <si>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</si>
  <si>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</si>
  <si>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</si>
  <si>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</si>
  <si>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</si>
  <si>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</si>
  <si>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</si>
  <si>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</si>
  <si>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</si>
  <si>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</si>
  <si>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</si>
  <si>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</si>
  <si>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</si>
  <si>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</si>
  <si>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</si>
  <si>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</si>
  <si>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</si>
  <si>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</si>
  <si>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</si>
  <si>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</si>
  <si>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</si>
  <si>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</si>
  <si>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</si>
  <si>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</si>
  <si>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</si>
  <si>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</si>
  <si>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</si>
  <si>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</si>
  <si>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</si>
  <si>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</si>
  <si>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</si>
  <si>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</si>
  <si>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</si>
  <si>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</si>
  <si>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</si>
  <si>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</si>
  <si>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</si>
  <si>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</si>
  <si>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</si>
  <si>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</si>
  <si>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</si>
  <si>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</si>
  <si>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</si>
  <si>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</si>
  <si>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</si>
  <si>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</si>
  <si>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</si>
  <si>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</si>
  <si>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</si>
  <si>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</si>
  <si>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</si>
  <si>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</si>
  <si>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</si>
  <si>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</si>
  <si>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</si>
  <si>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</si>
  <si>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</si>
  <si>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</si>
  <si>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</si>
  <si>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</si>
  <si>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</si>
  <si>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</si>
  <si>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</si>
  <si>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</si>
  <si>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</si>
  <si>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</si>
  <si>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</si>
  <si>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</si>
  <si>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</si>
  <si>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</si>
  <si>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</si>
  <si>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</si>
  <si>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</si>
  <si>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</si>
  <si>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</si>
  <si>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</si>
  <si>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</si>
  <si>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</si>
  <si>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</si>
  <si>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</si>
  <si>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</si>
  <si>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</si>
  <si>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</si>
  <si>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</si>
  <si>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</si>
  <si>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</si>
  <si>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</si>
  <si>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</si>
  <si>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</si>
  <si>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</si>
  <si>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</si>
  <si>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</si>
  <si>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</si>
  <si>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</si>
  <si>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</si>
  <si>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</si>
  <si>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</si>
  <si>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</si>
  <si>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</si>
  <si>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</si>
  <si>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</si>
  <si>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</si>
  <si>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</si>
  <si>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</si>
  <si>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</si>
  <si>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</si>
  <si>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</si>
  <si>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</si>
  <si>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</si>
  <si>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</si>
  <si>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</si>
  <si>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</si>
  <si>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</si>
  <si>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</si>
  <si>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</si>
  <si>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</si>
  <si>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</si>
  <si>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</si>
  <si>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</si>
  <si>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</si>
  <si>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</si>
  <si>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</si>
  <si>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</si>
  <si>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</si>
  <si>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</si>
  <si>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</si>
  <si>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</si>
  <si>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</si>
  <si>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</si>
  <si>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</si>
  <si>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</si>
  <si>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</si>
  <si>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</si>
  <si>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</si>
  <si>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</si>
  <si>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</si>
  <si>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</si>
  <si>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</si>
  <si>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</si>
  <si>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</si>
  <si>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</si>
  <si>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</si>
  <si>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</si>
  <si>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</si>
  <si>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</si>
  <si>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</si>
  <si>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</si>
  <si>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</si>
  <si>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</si>
  <si>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</si>
  <si>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</si>
  <si>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</si>
  <si>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</si>
  <si>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</si>
  <si>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</si>
  <si>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</si>
  <si>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</si>
  <si>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</si>
  <si>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</si>
  <si>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</si>
  <si>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</si>
  <si>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</si>
  <si>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</si>
  <si>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</si>
  <si>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</si>
  <si>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</si>
  <si>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</si>
  <si>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</si>
  <si>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</si>
  <si>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</si>
  <si>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</si>
  <si>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</si>
  <si>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</si>
  <si>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</si>
  <si>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</si>
  <si>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</si>
  <si>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</si>
  <si>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</si>
  <si>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</si>
  <si>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</si>
  <si>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</si>
  <si>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</si>
  <si>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</si>
  <si>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</si>
  <si>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</si>
  <si>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</si>
  <si>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</si>
  <si>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</si>
  <si>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</si>
  <si>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</si>
  <si>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</si>
  <si>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</si>
  <si>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43002</t>
  </si>
  <si>
    <t>ASSENEDE</t>
  </si>
  <si>
    <t>Paarden&amp;pony's 200 - 600 kg</t>
  </si>
  <si>
    <t>Paarden&amp;pony's &lt; 200 kg</t>
  </si>
  <si>
    <t>op basis van VEA (maart 2018) en Inventaris Hernieuwbare Energiebronnen (juni 2018)</t>
  </si>
  <si>
    <t>VEA (juni 2018)</t>
  </si>
  <si>
    <t>LV Hamerlinck</t>
  </si>
  <si>
    <t>Stoepestraat 5a, 9960 Assenede</t>
  </si>
  <si>
    <t>WKK-0135 Hamerlinck</t>
  </si>
  <si>
    <t>interne verbrandingsmotor</t>
  </si>
  <si>
    <t>WKK interne verbrandinsgmotor (gas)</t>
  </si>
  <si>
    <t>IMEWO</t>
  </si>
  <si>
    <t>Van Beneden - Claeys LV</t>
  </si>
  <si>
    <t>Beekstraat 104 , 9968 Bassevelde</t>
  </si>
  <si>
    <t>WKK-0505 Van Beneden-Claeys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</si>
</sst>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43002</v>
      </c>
      <c r="B6" s="397"/>
      <c r="C6" s="398"/>
    </row>
    <row r="7" spans="1:7" s="395" customFormat="1" ht="15.75" customHeight="1">
      <c r="A7" s="399" t="str">
        <f>txtMunicipality</f>
        <v>ASSENEDE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0.20487644661577087</v>
      </c>
      <c r="C17" s="510">
        <f ca="1">'EF ele_warmte'!B22</f>
        <v>0.23601183397385345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0.20487644661577087</v>
      </c>
      <c r="C29" s="511">
        <f ca="1">'EF ele_warmte'!B22</f>
        <v>0.23601183397385345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5864</v>
      </c>
      <c r="C9" s="338">
        <v>6028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6763</v>
      </c>
    </row>
    <row r="15" spans="1:6">
      <c r="A15" s="1286" t="s">
        <v>184</v>
      </c>
      <c r="B15" s="335">
        <v>71</v>
      </c>
    </row>
    <row r="16" spans="1:6">
      <c r="A16" s="1286" t="s">
        <v>6</v>
      </c>
      <c r="B16" s="335">
        <v>3366</v>
      </c>
    </row>
    <row r="17" spans="1:6">
      <c r="A17" s="1286" t="s">
        <v>7</v>
      </c>
      <c r="B17" s="335">
        <v>2134</v>
      </c>
    </row>
    <row r="18" spans="1:6">
      <c r="A18" s="1286" t="s">
        <v>8</v>
      </c>
      <c r="B18" s="335">
        <v>3909</v>
      </c>
    </row>
    <row r="19" spans="1:6">
      <c r="A19" s="1286" t="s">
        <v>9</v>
      </c>
      <c r="B19" s="335">
        <v>3487</v>
      </c>
    </row>
    <row r="20" spans="1:6">
      <c r="A20" s="1286" t="s">
        <v>10</v>
      </c>
      <c r="B20" s="335">
        <v>2105</v>
      </c>
    </row>
    <row r="21" spans="1:6">
      <c r="A21" s="1286" t="s">
        <v>11</v>
      </c>
      <c r="B21" s="335">
        <v>22706</v>
      </c>
    </row>
    <row r="22" spans="1:6">
      <c r="A22" s="1286" t="s">
        <v>12</v>
      </c>
      <c r="B22" s="335">
        <v>41881</v>
      </c>
    </row>
    <row r="23" spans="1:6">
      <c r="A23" s="1286" t="s">
        <v>13</v>
      </c>
      <c r="B23" s="335">
        <v>1043</v>
      </c>
    </row>
    <row r="24" spans="1:6">
      <c r="A24" s="1286" t="s">
        <v>14</v>
      </c>
      <c r="B24" s="335">
        <v>58</v>
      </c>
    </row>
    <row r="25" spans="1:6">
      <c r="A25" s="1286" t="s">
        <v>15</v>
      </c>
      <c r="B25" s="335">
        <v>6451</v>
      </c>
    </row>
    <row r="26" spans="1:6">
      <c r="A26" s="1286" t="s">
        <v>16</v>
      </c>
      <c r="B26" s="335">
        <v>90</v>
      </c>
    </row>
    <row r="27" spans="1:6">
      <c r="A27" s="1286" t="s">
        <v>17</v>
      </c>
      <c r="B27" s="335">
        <v>696</v>
      </c>
    </row>
    <row r="28" spans="1:6" s="341" customFormat="1">
      <c r="A28" s="1287" t="s">
        <v>18</v>
      </c>
      <c r="B28" s="1287">
        <v>319995</v>
      </c>
    </row>
    <row r="29" spans="1:6">
      <c r="A29" s="1287" t="s">
        <v>944</v>
      </c>
      <c r="B29" s="1287">
        <v>149</v>
      </c>
      <c r="C29" s="341"/>
      <c r="D29" s="341"/>
      <c r="E29" s="341"/>
      <c r="F29" s="341"/>
    </row>
    <row r="30" spans="1:6">
      <c r="A30" s="1282" t="s">
        <v>945</v>
      </c>
      <c r="B30" s="1282">
        <v>35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338411.50300422299</v>
      </c>
      <c r="E38" s="335">
        <v>7</v>
      </c>
      <c r="F38" s="335">
        <v>34393.510902141403</v>
      </c>
    </row>
    <row r="39" spans="1:6">
      <c r="A39" s="1286" t="s">
        <v>30</v>
      </c>
      <c r="B39" s="1286" t="s">
        <v>31</v>
      </c>
      <c r="C39" s="335">
        <v>2319</v>
      </c>
      <c r="D39" s="335">
        <v>40159163.477028601</v>
      </c>
      <c r="E39" s="335">
        <v>5461</v>
      </c>
      <c r="F39" s="335">
        <v>26113005.2857312</v>
      </c>
    </row>
    <row r="40" spans="1:6">
      <c r="A40" s="1286" t="s">
        <v>30</v>
      </c>
      <c r="B40" s="1286" t="s">
        <v>29</v>
      </c>
      <c r="C40" s="335">
        <v>0</v>
      </c>
      <c r="D40" s="335">
        <v>0</v>
      </c>
      <c r="E40" s="335">
        <v>0</v>
      </c>
      <c r="F40" s="335">
        <v>0</v>
      </c>
    </row>
    <row r="41" spans="1:6">
      <c r="A41" s="1286" t="s">
        <v>32</v>
      </c>
      <c r="B41" s="1286" t="s">
        <v>33</v>
      </c>
      <c r="C41" s="335">
        <v>10</v>
      </c>
      <c r="D41" s="335">
        <v>233568.918778152</v>
      </c>
      <c r="E41" s="335">
        <v>75</v>
      </c>
      <c r="F41" s="335">
        <v>464742.602114535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2295895.3075741702</v>
      </c>
    </row>
    <row r="45" spans="1:6">
      <c r="A45" s="1286" t="s">
        <v>32</v>
      </c>
      <c r="B45" s="1286" t="s">
        <v>37</v>
      </c>
      <c r="C45" s="335">
        <v>0</v>
      </c>
      <c r="D45" s="335">
        <v>0</v>
      </c>
      <c r="E45" s="335">
        <v>3</v>
      </c>
      <c r="F45" s="335">
        <v>8508.8787300541007</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5317756.8211185299</v>
      </c>
      <c r="E48" s="335">
        <v>52</v>
      </c>
      <c r="F48" s="335">
        <v>848173.72412381705</v>
      </c>
    </row>
    <row r="49" spans="1:6">
      <c r="A49" s="1286" t="s">
        <v>32</v>
      </c>
      <c r="B49" s="1286" t="s">
        <v>40</v>
      </c>
      <c r="C49" s="335">
        <v>0</v>
      </c>
      <c r="D49" s="335">
        <v>0</v>
      </c>
      <c r="E49" s="335">
        <v>0</v>
      </c>
      <c r="F49" s="335">
        <v>0</v>
      </c>
    </row>
    <row r="50" spans="1:6">
      <c r="A50" s="1286" t="s">
        <v>32</v>
      </c>
      <c r="B50" s="1286" t="s">
        <v>41</v>
      </c>
      <c r="C50" s="335">
        <v>0</v>
      </c>
      <c r="D50" s="335">
        <v>0</v>
      </c>
      <c r="E50" s="335">
        <v>8</v>
      </c>
      <c r="F50" s="335">
        <v>283928.68056983798</v>
      </c>
    </row>
    <row r="51" spans="1:6">
      <c r="A51" s="1286" t="s">
        <v>42</v>
      </c>
      <c r="B51" s="1286" t="s">
        <v>43</v>
      </c>
      <c r="C51" s="335">
        <v>10</v>
      </c>
      <c r="D51" s="335">
        <v>203418.929880087</v>
      </c>
      <c r="E51" s="335">
        <v>266</v>
      </c>
      <c r="F51" s="335">
        <v>5674348.5743640102</v>
      </c>
    </row>
    <row r="52" spans="1:6">
      <c r="A52" s="1286" t="s">
        <v>42</v>
      </c>
      <c r="B52" s="1286" t="s">
        <v>29</v>
      </c>
      <c r="C52" s="335">
        <v>8</v>
      </c>
      <c r="D52" s="335">
        <v>19226539.5240946</v>
      </c>
      <c r="E52" s="335">
        <v>22</v>
      </c>
      <c r="F52" s="335">
        <v>666004.79603482503</v>
      </c>
    </row>
    <row r="53" spans="1:6">
      <c r="A53" s="1286" t="s">
        <v>44</v>
      </c>
      <c r="B53" s="1286" t="s">
        <v>45</v>
      </c>
      <c r="C53" s="335">
        <v>64</v>
      </c>
      <c r="D53" s="335">
        <v>1887986.26229017</v>
      </c>
      <c r="E53" s="335">
        <v>158</v>
      </c>
      <c r="F53" s="335">
        <v>927458.70362171798</v>
      </c>
    </row>
    <row r="54" spans="1:6">
      <c r="A54" s="1286" t="s">
        <v>46</v>
      </c>
      <c r="B54" s="1286" t="s">
        <v>47</v>
      </c>
      <c r="C54" s="335">
        <v>0</v>
      </c>
      <c r="D54" s="335">
        <v>0</v>
      </c>
      <c r="E54" s="335">
        <v>4</v>
      </c>
      <c r="F54" s="335">
        <v>1062825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427838.15703208599</v>
      </c>
      <c r="E57" s="335">
        <v>86</v>
      </c>
      <c r="F57" s="335">
        <v>898535.37987059995</v>
      </c>
    </row>
    <row r="58" spans="1:6">
      <c r="A58" s="1286" t="s">
        <v>49</v>
      </c>
      <c r="B58" s="1286" t="s">
        <v>51</v>
      </c>
      <c r="C58" s="335">
        <v>3</v>
      </c>
      <c r="D58" s="335">
        <v>73625.102060042496</v>
      </c>
      <c r="E58" s="335">
        <v>10</v>
      </c>
      <c r="F58" s="335">
        <v>55878.059483821497</v>
      </c>
    </row>
    <row r="59" spans="1:6">
      <c r="A59" s="1286" t="s">
        <v>49</v>
      </c>
      <c r="B59" s="1286" t="s">
        <v>52</v>
      </c>
      <c r="C59" s="335">
        <v>17</v>
      </c>
      <c r="D59" s="335">
        <v>688193.12435867405</v>
      </c>
      <c r="E59" s="335">
        <v>92</v>
      </c>
      <c r="F59" s="335">
        <v>2183185.3760521398</v>
      </c>
    </row>
    <row r="60" spans="1:6">
      <c r="A60" s="1286" t="s">
        <v>49</v>
      </c>
      <c r="B60" s="1286" t="s">
        <v>53</v>
      </c>
      <c r="C60" s="335">
        <v>29</v>
      </c>
      <c r="D60" s="335">
        <v>1189559.6807667899</v>
      </c>
      <c r="E60" s="335">
        <v>51</v>
      </c>
      <c r="F60" s="335">
        <v>784458.230626137</v>
      </c>
    </row>
    <row r="61" spans="1:6">
      <c r="A61" s="1286" t="s">
        <v>49</v>
      </c>
      <c r="B61" s="1286" t="s">
        <v>54</v>
      </c>
      <c r="C61" s="335">
        <v>34</v>
      </c>
      <c r="D61" s="335">
        <v>2079649.0034714199</v>
      </c>
      <c r="E61" s="335">
        <v>107</v>
      </c>
      <c r="F61" s="335">
        <v>1339185.8185370001</v>
      </c>
    </row>
    <row r="62" spans="1:6">
      <c r="A62" s="1286" t="s">
        <v>49</v>
      </c>
      <c r="B62" s="1286" t="s">
        <v>55</v>
      </c>
      <c r="C62" s="335">
        <v>0</v>
      </c>
      <c r="D62" s="335">
        <v>0</v>
      </c>
      <c r="E62" s="335">
        <v>0</v>
      </c>
      <c r="F62" s="335">
        <v>0</v>
      </c>
    </row>
    <row r="63" spans="1:6">
      <c r="A63" s="1286" t="s">
        <v>49</v>
      </c>
      <c r="B63" s="1286" t="s">
        <v>29</v>
      </c>
      <c r="C63" s="335">
        <v>111</v>
      </c>
      <c r="D63" s="335">
        <v>5284554.9842411503</v>
      </c>
      <c r="E63" s="335">
        <v>208</v>
      </c>
      <c r="F63" s="335">
        <v>4182415.2177434401</v>
      </c>
    </row>
    <row r="64" spans="1:6">
      <c r="A64" s="1286" t="s">
        <v>56</v>
      </c>
      <c r="B64" s="1286" t="s">
        <v>57</v>
      </c>
      <c r="C64" s="335">
        <v>0</v>
      </c>
      <c r="D64" s="335">
        <v>0</v>
      </c>
      <c r="E64" s="335">
        <v>0</v>
      </c>
      <c r="F64" s="335">
        <v>0</v>
      </c>
    </row>
    <row r="65" spans="1:6">
      <c r="A65" s="1286" t="s">
        <v>56</v>
      </c>
      <c r="B65" s="1286" t="s">
        <v>29</v>
      </c>
      <c r="C65" s="335">
        <v>6</v>
      </c>
      <c r="D65" s="335">
        <v>137390.44234863701</v>
      </c>
      <c r="E65" s="335">
        <v>5</v>
      </c>
      <c r="F65" s="335">
        <v>24747.734171618999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16</v>
      </c>
      <c r="F68" s="335">
        <v>194250.01306277601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98069266</v>
      </c>
      <c r="E73" s="335">
        <v>75429964.127390727</v>
      </c>
    </row>
    <row r="74" spans="1:6">
      <c r="A74" s="1286" t="s">
        <v>64</v>
      </c>
      <c r="B74" s="1286" t="s">
        <v>772</v>
      </c>
      <c r="C74" s="1297" t="s">
        <v>766</v>
      </c>
      <c r="D74" s="335">
        <v>8953487.3611843549</v>
      </c>
      <c r="E74" s="335">
        <v>7069012.6265974017</v>
      </c>
    </row>
    <row r="75" spans="1:6">
      <c r="A75" s="1286" t="s">
        <v>65</v>
      </c>
      <c r="B75" s="1286" t="s">
        <v>771</v>
      </c>
      <c r="C75" s="1297" t="s">
        <v>767</v>
      </c>
      <c r="D75" s="335">
        <v>30198375</v>
      </c>
      <c r="E75" s="335">
        <v>24796116.638064671</v>
      </c>
    </row>
    <row r="76" spans="1:6">
      <c r="A76" s="1286" t="s">
        <v>65</v>
      </c>
      <c r="B76" s="1286" t="s">
        <v>772</v>
      </c>
      <c r="C76" s="1297" t="s">
        <v>768</v>
      </c>
      <c r="D76" s="335">
        <v>1378592.3611843551</v>
      </c>
      <c r="E76" s="335">
        <v>1055507.4768145708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424823.27763128997</v>
      </c>
      <c r="C83" s="335">
        <v>408031.80127119657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2765.1672516728077</v>
      </c>
    </row>
    <row r="92" spans="1:6">
      <c r="A92" s="1282" t="s">
        <v>69</v>
      </c>
      <c r="B92" s="338">
        <v>1354.1942284283855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1118</v>
      </c>
    </row>
    <row r="98" spans="1:6">
      <c r="A98" s="1286" t="s">
        <v>72</v>
      </c>
      <c r="B98" s="335">
        <v>0</v>
      </c>
    </row>
    <row r="99" spans="1:6">
      <c r="A99" s="1286" t="s">
        <v>73</v>
      </c>
      <c r="B99" s="335">
        <v>182</v>
      </c>
    </row>
    <row r="100" spans="1:6">
      <c r="A100" s="1286" t="s">
        <v>74</v>
      </c>
      <c r="B100" s="335">
        <v>600</v>
      </c>
    </row>
    <row r="101" spans="1:6">
      <c r="A101" s="1286" t="s">
        <v>75</v>
      </c>
      <c r="B101" s="335">
        <v>133</v>
      </c>
    </row>
    <row r="102" spans="1:6">
      <c r="A102" s="1286" t="s">
        <v>76</v>
      </c>
      <c r="B102" s="335">
        <v>98</v>
      </c>
    </row>
    <row r="103" spans="1:6">
      <c r="A103" s="1286" t="s">
        <v>77</v>
      </c>
      <c r="B103" s="335">
        <v>340</v>
      </c>
    </row>
    <row r="104" spans="1:6">
      <c r="A104" s="1286" t="s">
        <v>78</v>
      </c>
      <c r="B104" s="335">
        <v>2839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1</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50556.415641693959</v>
      </c>
      <c r="C3" s="44" t="s">
        <v>170</v>
      </c>
      <c r="D3" s="44"/>
      <c r="E3" s="157"/>
      <c r="F3" s="44"/>
      <c r="G3" s="44"/>
      <c r="H3" s="44"/>
      <c r="I3" s="44"/>
      <c r="J3" s="44"/>
      <c r="K3" s="97"/>
    </row>
    <row r="4" spans="1:11">
      <c r="A4" s="365" t="s">
        <v>171</v>
      </c>
      <c r="B4" s="50">
        <f>IF(ISERROR('SEAP template'!B78+'SEAP template'!C78),0,'SEAP template'!B78+'SEAP template'!C78)</f>
        <v>10463.011480101193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1497.1764705882354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0.20487644661577087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2138.8235294117649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9062.3571428571431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0.23601183397385345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1062.825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1062.825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0.20487644661577087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217.74780937440667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26113.0052857312</v>
      </c>
      <c r="C5" s="18">
        <f>IF(ISERROR('Eigen informatie GS &amp; warmtenet'!B57),0,'Eigen informatie GS &amp; warmtenet'!B57)</f>
        <v>0</v>
      </c>
      <c r="D5" s="31">
        <f>(SUM(HH_hh_gas_kWh,HH_rest_gas_kWh)/1000)*0.902</f>
        <v>36223.565456279801</v>
      </c>
      <c r="E5" s="18">
        <f>B46*B57</f>
        <v>6807.1134376965156</v>
      </c>
      <c r="F5" s="18">
        <f>B51*B62</f>
        <v>34704.690569610953</v>
      </c>
      <c r="G5" s="19"/>
      <c r="H5" s="18"/>
      <c r="I5" s="18"/>
      <c r="J5" s="18">
        <f>B50*B61+C50*C61</f>
        <v>6939.3884388500664</v>
      </c>
      <c r="K5" s="18"/>
      <c r="L5" s="18"/>
      <c r="M5" s="18"/>
      <c r="N5" s="18">
        <f>B48*B59+C48*C59</f>
        <v>16154.669427336061</v>
      </c>
      <c r="O5" s="18">
        <f>B69*B70*B71</f>
        <v>90.673333333333346</v>
      </c>
      <c r="P5" s="18">
        <f>B77*B78*B79/1000-B77*B78*B79/1000/B80</f>
        <v>266.93333333333334</v>
      </c>
    </row>
    <row r="6" spans="1:16">
      <c r="A6" s="17" t="s">
        <v>639</v>
      </c>
      <c r="B6" s="780">
        <f>kWh_PV_kleiner_dan_10kW</f>
        <v>2765.1672516728077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28878.172537404007</v>
      </c>
      <c r="C8" s="22">
        <f>C5</f>
        <v>0</v>
      </c>
      <c r="D8" s="22">
        <f>D5</f>
        <v>36223.565456279801</v>
      </c>
      <c r="E8" s="22">
        <f>E5</f>
        <v>6807.1134376965156</v>
      </c>
      <c r="F8" s="22">
        <f>F5</f>
        <v>34704.690569610953</v>
      </c>
      <c r="G8" s="22"/>
      <c r="H8" s="22"/>
      <c r="I8" s="22"/>
      <c r="J8" s="22">
        <f>J5</f>
        <v>6939.3884388500664</v>
      </c>
      <c r="K8" s="22"/>
      <c r="L8" s="22">
        <f>L5</f>
        <v>0</v>
      </c>
      <c r="M8" s="22">
        <f>M5</f>
        <v>0</v>
      </c>
      <c r="N8" s="22">
        <f>N5</f>
        <v>16154.669427336061</v>
      </c>
      <c r="O8" s="22">
        <f>O5</f>
        <v>90.673333333333346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0.20487644661577087</v>
      </c>
      <c r="C10" s="26">
        <f ca="1">'EF ele_warmte'!B22</f>
        <v>0.23601183397385345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5916.457374220472</v>
      </c>
      <c r="C12" s="24">
        <f ca="1">C10*C8</f>
        <v>0</v>
      </c>
      <c r="D12" s="24">
        <f>D8*D10</f>
        <v>7317.1602221685198</v>
      </c>
      <c r="E12" s="24">
        <f>E10*E8</f>
        <v>1545.2147503571091</v>
      </c>
      <c r="F12" s="24">
        <f>F10*F8</f>
        <v>9266.1523820861257</v>
      </c>
      <c r="G12" s="24"/>
      <c r="H12" s="24"/>
      <c r="I12" s="24"/>
      <c r="J12" s="24">
        <f>J10*J8</f>
        <v>2456.5435073529234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1118</v>
      </c>
      <c r="C18" s="169" t="s">
        <v>111</v>
      </c>
      <c r="D18" s="231"/>
      <c r="E18" s="16"/>
    </row>
    <row r="19" spans="1:7">
      <c r="A19" s="174" t="s">
        <v>72</v>
      </c>
      <c r="B19" s="38">
        <f>aantalw2001_ander</f>
        <v>0</v>
      </c>
      <c r="C19" s="169" t="s">
        <v>111</v>
      </c>
      <c r="D19" s="232"/>
      <c r="E19" s="16"/>
    </row>
    <row r="20" spans="1:7">
      <c r="A20" s="174" t="s">
        <v>73</v>
      </c>
      <c r="B20" s="38">
        <f>aantalw2001_propaan</f>
        <v>182</v>
      </c>
      <c r="C20" s="170">
        <f>IF(ISERROR(B20/SUM($B$20,$B$21,$B$22)*100),0,B20/SUM($B$20,$B$21,$B$22)*100)</f>
        <v>19.89071038251366</v>
      </c>
      <c r="D20" s="232"/>
      <c r="E20" s="16"/>
    </row>
    <row r="21" spans="1:7">
      <c r="A21" s="174" t="s">
        <v>74</v>
      </c>
      <c r="B21" s="38">
        <f>aantalw2001_elektriciteit</f>
        <v>600</v>
      </c>
      <c r="C21" s="170">
        <f>IF(ISERROR(B21/SUM($B$20,$B$21,$B$22)*100),0,B21/SUM($B$20,$B$21,$B$22)*100)</f>
        <v>65.573770491803273</v>
      </c>
      <c r="D21" s="232"/>
      <c r="E21" s="16"/>
    </row>
    <row r="22" spans="1:7">
      <c r="A22" s="174" t="s">
        <v>75</v>
      </c>
      <c r="B22" s="38">
        <f>aantalw2001_hout</f>
        <v>133</v>
      </c>
      <c r="C22" s="170">
        <f>IF(ISERROR(B22/SUM($B$20,$B$21,$B$22)*100),0,B22/SUM($B$20,$B$21,$B$22)*100)</f>
        <v>14.535519125683061</v>
      </c>
      <c r="D22" s="232"/>
      <c r="E22" s="16"/>
    </row>
    <row r="23" spans="1:7">
      <c r="A23" s="174" t="s">
        <v>76</v>
      </c>
      <c r="B23" s="38">
        <f>aantalw2001_niet_gespec</f>
        <v>98</v>
      </c>
      <c r="C23" s="169" t="s">
        <v>111</v>
      </c>
      <c r="D23" s="231"/>
      <c r="E23" s="16"/>
    </row>
    <row r="24" spans="1:7">
      <c r="A24" s="174" t="s">
        <v>77</v>
      </c>
      <c r="B24" s="38">
        <f>aantalw2001_steenkool</f>
        <v>340</v>
      </c>
      <c r="C24" s="169" t="s">
        <v>111</v>
      </c>
      <c r="D24" s="232"/>
      <c r="E24" s="16"/>
    </row>
    <row r="25" spans="1:7">
      <c r="A25" s="174" t="s">
        <v>78</v>
      </c>
      <c r="B25" s="38">
        <f>aantalw2001_stookolie</f>
        <v>2839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5864</v>
      </c>
      <c r="C28" s="37"/>
      <c r="D28" s="231"/>
    </row>
    <row r="29" spans="1:7" s="16" customFormat="1">
      <c r="A29" s="233" t="s">
        <v>666</v>
      </c>
      <c r="B29" s="38">
        <f>SUM(HH_hh_gas_aantal,HH_rest_gas_aantal)</f>
        <v>2319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2319</v>
      </c>
      <c r="C32" s="170">
        <f>IF(ISERROR(B32/SUM($B$32,$B$34,$B$35,$B$36,$B$38,$B$39)*100),0,B32/SUM($B$32,$B$34,$B$35,$B$36,$B$38,$B$39)*100)</f>
        <v>39.641025641025642</v>
      </c>
      <c r="D32" s="236"/>
      <c r="G32" s="16"/>
    </row>
    <row r="33" spans="1:7">
      <c r="A33" s="174" t="s">
        <v>72</v>
      </c>
      <c r="B33" s="35" t="s">
        <v>111</v>
      </c>
      <c r="C33" s="170"/>
      <c r="D33" s="236"/>
      <c r="G33" s="16"/>
    </row>
    <row r="34" spans="1:7">
      <c r="A34" s="174" t="s">
        <v>73</v>
      </c>
      <c r="B34" s="34">
        <f>IF((($B$28-$B$32-$B$39-$B$77-$B$38)*C20/100)&lt;0,0,($B$28-$B$32-$B$39-$B$77-$B$38)*C20/100)</f>
        <v>308.90273224043716</v>
      </c>
      <c r="C34" s="170">
        <f>IF(ISERROR(B34/SUM($B$32,$B$34,$B$35,$B$36,$B$38,$B$39)*100),0,B34/SUM($B$32,$B$34,$B$35,$B$36,$B$38,$B$39)*100)</f>
        <v>5.2803885853066186</v>
      </c>
      <c r="D34" s="236"/>
      <c r="G34" s="16"/>
    </row>
    <row r="35" spans="1:7">
      <c r="A35" s="174" t="s">
        <v>74</v>
      </c>
      <c r="B35" s="34">
        <f>IF((($B$28-$B$32-$B$39-$B$77-$B$38)*C21/100)&lt;0,0,($B$28-$B$32-$B$39-$B$77-$B$38)*C21/100)</f>
        <v>1018.3606557377047</v>
      </c>
      <c r="C35" s="170">
        <f>IF(ISERROR(B35/SUM($B$32,$B$34,$B$35,$B$36,$B$38,$B$39)*100),0,B35/SUM($B$32,$B$34,$B$35,$B$36,$B$38,$B$39)*100)</f>
        <v>17.407874457054781</v>
      </c>
      <c r="D35" s="236"/>
      <c r="G35" s="16"/>
    </row>
    <row r="36" spans="1:7">
      <c r="A36" s="174" t="s">
        <v>75</v>
      </c>
      <c r="B36" s="34">
        <f>IF((($B$28-$B$32-$B$39-$B$77-$B$38)*C22/100)&lt;0,0,($B$28-$B$32-$B$39-$B$77-$B$38)*C22/100)</f>
        <v>225.73661202185795</v>
      </c>
      <c r="C36" s="170">
        <f>IF(ISERROR(B36/SUM($B$32,$B$34,$B$35,$B$36,$B$38,$B$39)*100),0,B36/SUM($B$32,$B$34,$B$35,$B$36,$B$38,$B$39)*100)</f>
        <v>3.8587455046471444</v>
      </c>
      <c r="D36" s="236"/>
      <c r="G36" s="16"/>
    </row>
    <row r="37" spans="1:7">
      <c r="A37" s="174" t="s">
        <v>76</v>
      </c>
      <c r="B37" s="35" t="s">
        <v>111</v>
      </c>
      <c r="C37" s="170"/>
      <c r="D37" s="176"/>
      <c r="G37" s="16"/>
    </row>
    <row r="38" spans="1:7">
      <c r="A38" s="174" t="s">
        <v>77</v>
      </c>
      <c r="B38" s="34">
        <f>IF((B24-(B29-B18)*0.1)&lt;0,0,B24-(B29-B18)*0.1)</f>
        <v>219.89999999999998</v>
      </c>
      <c r="C38" s="170">
        <f>IF(ISERROR(B38/SUM($B$32,$B$34,$B$35,$B$36,$B$38,$B$39)*100),0,B38/SUM($B$32,$B$34,$B$35,$B$36,$B$38,$B$39)*100)</f>
        <v>3.7589743589743589</v>
      </c>
      <c r="D38" s="237"/>
      <c r="G38" s="16"/>
    </row>
    <row r="39" spans="1:7">
      <c r="A39" s="174" t="s">
        <v>78</v>
      </c>
      <c r="B39" s="34">
        <f>IF((B25-(B29-B18))&lt;0,0,B25-(B29-B18)*0.9)</f>
        <v>1758.1</v>
      </c>
      <c r="C39" s="170">
        <f>IF(ISERROR(B39/SUM($B$32,$B$34,$B$35,$B$36,$B$38,$B$39)*100),0,B39/SUM($B$32,$B$34,$B$35,$B$36,$B$38,$B$39)*100)</f>
        <v>30.052991452991449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2319</v>
      </c>
      <c r="C44" s="35" t="s">
        <v>111</v>
      </c>
      <c r="D44" s="177"/>
    </row>
    <row r="45" spans="1:7">
      <c r="A45" s="174" t="s">
        <v>72</v>
      </c>
      <c r="B45" s="34" t="str">
        <f t="shared" si="0"/>
        <v>-</v>
      </c>
      <c r="C45" s="35" t="s">
        <v>111</v>
      </c>
      <c r="D45" s="177"/>
    </row>
    <row r="46" spans="1:7">
      <c r="A46" s="174" t="s">
        <v>73</v>
      </c>
      <c r="B46" s="34">
        <f t="shared" si="0"/>
        <v>308.90273224043716</v>
      </c>
      <c r="C46" s="35" t="s">
        <v>111</v>
      </c>
      <c r="D46" s="177"/>
    </row>
    <row r="47" spans="1:7">
      <c r="A47" s="174" t="s">
        <v>74</v>
      </c>
      <c r="B47" s="34">
        <f t="shared" si="0"/>
        <v>1018.3606557377047</v>
      </c>
      <c r="C47" s="35" t="s">
        <v>111</v>
      </c>
      <c r="D47" s="177"/>
    </row>
    <row r="48" spans="1:7">
      <c r="A48" s="174" t="s">
        <v>75</v>
      </c>
      <c r="B48" s="34">
        <f t="shared" si="0"/>
        <v>225.73661202185795</v>
      </c>
      <c r="C48" s="34">
        <f>B48*10</f>
        <v>2257.3661202185795</v>
      </c>
      <c r="D48" s="237"/>
    </row>
    <row r="49" spans="1:6">
      <c r="A49" s="174" t="s">
        <v>76</v>
      </c>
      <c r="B49" s="34" t="str">
        <f t="shared" si="0"/>
        <v>-</v>
      </c>
      <c r="C49" s="35" t="s">
        <v>111</v>
      </c>
      <c r="D49" s="237"/>
    </row>
    <row r="50" spans="1:6">
      <c r="A50" s="174" t="s">
        <v>77</v>
      </c>
      <c r="B50" s="34">
        <f t="shared" si="0"/>
        <v>219.89999999999998</v>
      </c>
      <c r="C50" s="34">
        <f>B50*2</f>
        <v>439.79999999999995</v>
      </c>
      <c r="D50" s="237"/>
    </row>
    <row r="51" spans="1:6">
      <c r="A51" s="174" t="s">
        <v>78</v>
      </c>
      <c r="B51" s="34">
        <f t="shared" si="0"/>
        <v>1758.1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9443.6580823131389</v>
      </c>
      <c r="C5" s="18">
        <f>IF(ISERROR('Eigen informatie GS &amp; warmtenet'!B58),0,'Eigen informatie GS &amp; warmtenet'!B58)</f>
        <v>0</v>
      </c>
      <c r="D5" s="31">
        <f>SUM(D6:D12)</f>
        <v>8788.5648868410062</v>
      </c>
      <c r="E5" s="18">
        <f>SUM(E6:E12)</f>
        <v>98.206088202239897</v>
      </c>
      <c r="F5" s="18">
        <f>SUM(F6:F12)</f>
        <v>1897.256321900792</v>
      </c>
      <c r="G5" s="19"/>
      <c r="H5" s="18"/>
      <c r="I5" s="18"/>
      <c r="J5" s="18">
        <f>SUM(J6:J12)</f>
        <v>0</v>
      </c>
      <c r="K5" s="18"/>
      <c r="L5" s="18"/>
      <c r="M5" s="18"/>
      <c r="N5" s="18">
        <f>SUM(N6:N12)</f>
        <v>805.11731593256968</v>
      </c>
      <c r="O5" s="18">
        <f>B38*B39*B40</f>
        <v>1.5633333333333335</v>
      </c>
      <c r="P5" s="18">
        <f>B46*B47*B48/1000-B46*B47*B48/1000/B49</f>
        <v>0</v>
      </c>
      <c r="R5" s="33"/>
    </row>
    <row r="6" spans="1:18">
      <c r="A6" s="33" t="s">
        <v>54</v>
      </c>
      <c r="B6" s="38">
        <f>B26</f>
        <v>1339.1858185370002</v>
      </c>
      <c r="C6" s="34"/>
      <c r="D6" s="38">
        <f>IF(ISERROR(TER_kantoor_gas_kWh/1000),0,TER_kantoor_gas_kWh/1000)*0.902</f>
        <v>1875.8434011312206</v>
      </c>
      <c r="E6" s="34">
        <f>$C$26*'E Balans VL '!I12/100/3.6*1000000</f>
        <v>2.1978753488419303</v>
      </c>
      <c r="F6" s="34">
        <f>$C$26*('E Balans VL '!L12+'E Balans VL '!N12)/100/3.6*1000000</f>
        <v>157.85849867430196</v>
      </c>
      <c r="G6" s="35"/>
      <c r="H6" s="34"/>
      <c r="I6" s="34"/>
      <c r="J6" s="34">
        <f>$C$26*('E Balans VL '!D12+'E Balans VL '!E12)/100/3.6*1000000</f>
        <v>0</v>
      </c>
      <c r="K6" s="34"/>
      <c r="L6" s="34"/>
      <c r="M6" s="34"/>
      <c r="N6" s="34">
        <f>$C$26*'E Balans VL '!Y12/100/3.6*1000000</f>
        <v>0.27057615307138277</v>
      </c>
      <c r="O6" s="34"/>
      <c r="P6" s="34"/>
      <c r="R6" s="33"/>
    </row>
    <row r="7" spans="1:18">
      <c r="A7" s="33" t="s">
        <v>53</v>
      </c>
      <c r="B7" s="38">
        <f t="shared" ref="B7:B12" si="0">B27</f>
        <v>784.45823062613704</v>
      </c>
      <c r="C7" s="34"/>
      <c r="D7" s="38">
        <f>IF(ISERROR(TER_horeca_gas_kWh/1000),0,TER_horeca_gas_kWh/1000)*0.902</f>
        <v>1072.9828320516447</v>
      </c>
      <c r="E7" s="34">
        <f>$C$27*'E Balans VL '!I9/100/3.6*1000000</f>
        <v>40.707705708267952</v>
      </c>
      <c r="F7" s="34">
        <f>$C$27*('E Balans VL '!L9+'E Balans VL '!N9)/100/3.6*1000000</f>
        <v>179.01393743459769</v>
      </c>
      <c r="G7" s="35"/>
      <c r="H7" s="34"/>
      <c r="I7" s="34"/>
      <c r="J7" s="34">
        <f>$C$27*('E Balans VL '!D9+'E Balans VL '!E9)/100/3.6*1000000</f>
        <v>0</v>
      </c>
      <c r="K7" s="34"/>
      <c r="L7" s="34"/>
      <c r="M7" s="34"/>
      <c r="N7" s="34">
        <f>$C$27*'E Balans VL '!Y9/100/3.6*1000000</f>
        <v>8.2838429660452115E-2</v>
      </c>
      <c r="O7" s="34"/>
      <c r="P7" s="34"/>
      <c r="R7" s="33"/>
    </row>
    <row r="8" spans="1:18">
      <c r="A8" s="6" t="s">
        <v>52</v>
      </c>
      <c r="B8" s="38">
        <f t="shared" si="0"/>
        <v>2183.1853760521399</v>
      </c>
      <c r="C8" s="34"/>
      <c r="D8" s="38">
        <f>IF(ISERROR(TER_handel_gas_kWh/1000),0,TER_handel_gas_kWh/1000)*0.902</f>
        <v>620.75019817152395</v>
      </c>
      <c r="E8" s="34">
        <f>$C$28*'E Balans VL '!I13/100/3.6*1000000</f>
        <v>11.756721527866487</v>
      </c>
      <c r="F8" s="34">
        <f>$C$28*('E Balans VL '!L13+'E Balans VL '!N13)/100/3.6*1000000</f>
        <v>445.21637660301781</v>
      </c>
      <c r="G8" s="35"/>
      <c r="H8" s="34"/>
      <c r="I8" s="34"/>
      <c r="J8" s="34">
        <f>$C$28*('E Balans VL '!D13+'E Balans VL '!E13)/100/3.6*1000000</f>
        <v>0</v>
      </c>
      <c r="K8" s="34"/>
      <c r="L8" s="34"/>
      <c r="M8" s="34"/>
      <c r="N8" s="34">
        <f>$C$28*'E Balans VL '!Y13/100/3.6*1000000</f>
        <v>10.855827967941661</v>
      </c>
      <c r="O8" s="34"/>
      <c r="P8" s="34"/>
      <c r="R8" s="33"/>
    </row>
    <row r="9" spans="1:18">
      <c r="A9" s="33" t="s">
        <v>51</v>
      </c>
      <c r="B9" s="38">
        <f t="shared" si="0"/>
        <v>55.878059483821495</v>
      </c>
      <c r="C9" s="34"/>
      <c r="D9" s="38">
        <f>IF(ISERROR(TER_gezond_gas_kWh/1000),0,TER_gezond_gas_kWh/1000)*0.902</f>
        <v>66.409842058158333</v>
      </c>
      <c r="E9" s="34">
        <f>$C$29*'E Balans VL '!I10/100/3.6*1000000</f>
        <v>5.5375792391129705E-2</v>
      </c>
      <c r="F9" s="34">
        <f>$C$29*('E Balans VL '!L10+'E Balans VL '!N10)/100/3.6*1000000</f>
        <v>19.388076017611965</v>
      </c>
      <c r="G9" s="35"/>
      <c r="H9" s="34"/>
      <c r="I9" s="34"/>
      <c r="J9" s="34">
        <f>$C$29*('E Balans VL '!D10+'E Balans VL '!E10)/100/3.6*1000000</f>
        <v>0</v>
      </c>
      <c r="K9" s="34"/>
      <c r="L9" s="34"/>
      <c r="M9" s="34"/>
      <c r="N9" s="34">
        <f>$C$29*'E Balans VL '!Y10/100/3.6*1000000</f>
        <v>0.48149639787900456</v>
      </c>
      <c r="O9" s="34"/>
      <c r="P9" s="34"/>
      <c r="R9" s="33"/>
    </row>
    <row r="10" spans="1:18">
      <c r="A10" s="33" t="s">
        <v>50</v>
      </c>
      <c r="B10" s="38">
        <f t="shared" si="0"/>
        <v>898.53537987059997</v>
      </c>
      <c r="C10" s="34"/>
      <c r="D10" s="38">
        <f>IF(ISERROR(TER_ander_gas_kWh/1000),0,TER_ander_gas_kWh/1000)*0.902</f>
        <v>385.91001764294157</v>
      </c>
      <c r="E10" s="34">
        <f>$C$30*'E Balans VL '!I14/100/3.6*1000000</f>
        <v>7.3509174294984918</v>
      </c>
      <c r="F10" s="34">
        <f>$C$30*('E Balans VL '!L14+'E Balans VL '!N14)/100/3.6*1000000</f>
        <v>262.69516418379646</v>
      </c>
      <c r="G10" s="35"/>
      <c r="H10" s="34"/>
      <c r="I10" s="34"/>
      <c r="J10" s="34">
        <f>$C$30*('E Balans VL '!D14+'E Balans VL '!E14)/100/3.6*1000000</f>
        <v>0</v>
      </c>
      <c r="K10" s="34"/>
      <c r="L10" s="34"/>
      <c r="M10" s="34"/>
      <c r="N10" s="34">
        <f>$C$30*'E Balans VL '!Y14/100/3.6*1000000</f>
        <v>518.33701638178945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4182.4152177434398</v>
      </c>
      <c r="C12" s="34"/>
      <c r="D12" s="38">
        <f>IF(ISERROR(TER_rest_gas_kWh/1000),0,TER_rest_gas_kWh/1000)*0.902</f>
        <v>4766.6685957855179</v>
      </c>
      <c r="E12" s="34">
        <f>$C$32*'E Balans VL '!I8/100/3.6*1000000</f>
        <v>36.13749239537389</v>
      </c>
      <c r="F12" s="34">
        <f>$C$32*('E Balans VL '!L8+'E Balans VL '!N8)/100/3.6*1000000</f>
        <v>833.08426898746632</v>
      </c>
      <c r="G12" s="35"/>
      <c r="H12" s="34"/>
      <c r="I12" s="34"/>
      <c r="J12" s="34">
        <f>$C$32*('E Balans VL '!D8+'E Balans VL '!E8)/100/3.6*1000000</f>
        <v>0</v>
      </c>
      <c r="K12" s="34"/>
      <c r="L12" s="34"/>
      <c r="M12" s="34"/>
      <c r="N12" s="34">
        <f>$C$32*'E Balans VL '!Y8/100/3.6*1000000</f>
        <v>275.08956060222772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9443.6580823131389</v>
      </c>
      <c r="C16" s="22">
        <f t="shared" ca="1" si="1"/>
        <v>0</v>
      </c>
      <c r="D16" s="22">
        <f t="shared" ca="1" si="1"/>
        <v>8788.5648868410062</v>
      </c>
      <c r="E16" s="22">
        <f t="shared" si="1"/>
        <v>98.206088202239897</v>
      </c>
      <c r="F16" s="22">
        <f t="shared" ca="1" si="1"/>
        <v>1897.256321900792</v>
      </c>
      <c r="G16" s="22">
        <f t="shared" si="1"/>
        <v>0</v>
      </c>
      <c r="H16" s="22">
        <f t="shared" si="1"/>
        <v>0</v>
      </c>
      <c r="I16" s="22">
        <f t="shared" si="1"/>
        <v>0</v>
      </c>
      <c r="J16" s="22">
        <f t="shared" si="1"/>
        <v>0</v>
      </c>
      <c r="K16" s="22">
        <f t="shared" si="1"/>
        <v>0</v>
      </c>
      <c r="L16" s="22">
        <f t="shared" ca="1" si="1"/>
        <v>0</v>
      </c>
      <c r="M16" s="22">
        <f t="shared" si="1"/>
        <v>0</v>
      </c>
      <c r="N16" s="22">
        <f t="shared" ca="1" si="1"/>
        <v>805.11731593256968</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0.20487644661577087</v>
      </c>
      <c r="C18" s="26">
        <f ca="1">'EF ele_warmte'!B22</f>
        <v>0.23601183397385345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1934.7831109586209</v>
      </c>
      <c r="C20" s="24">
        <f t="shared" ref="C20:P20" ca="1" si="2">C16*C18</f>
        <v>0</v>
      </c>
      <c r="D20" s="24">
        <f t="shared" ca="1" si="2"/>
        <v>1775.2901071418835</v>
      </c>
      <c r="E20" s="24">
        <f t="shared" si="2"/>
        <v>22.292782021908458</v>
      </c>
      <c r="F20" s="24">
        <f t="shared" ca="1" si="2"/>
        <v>506.56743794751151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1339.1858185370002</v>
      </c>
      <c r="C26" s="40">
        <f>IF(ISERROR(B26*3.6/1000000/'E Balans VL '!Z12*100),0,B26*3.6/1000000/'E Balans VL '!Z12*100)</f>
        <v>2.845673827218749E-2</v>
      </c>
      <c r="D26" s="240" t="s">
        <v>707</v>
      </c>
      <c r="F26" s="6"/>
    </row>
    <row r="27" spans="1:18">
      <c r="A27" s="234" t="s">
        <v>53</v>
      </c>
      <c r="B27" s="34">
        <f>IF(ISERROR(TER_horeca_ele_kWh/1000),0,TER_horeca_ele_kWh/1000)</f>
        <v>784.45823062613704</v>
      </c>
      <c r="C27" s="40">
        <f>IF(ISERROR(B27*3.6/1000000/'E Balans VL '!Z9*100),0,B27*3.6/1000000/'E Balans VL '!Z9*100)</f>
        <v>6.1742928939467423E-2</v>
      </c>
      <c r="D27" s="240" t="s">
        <v>707</v>
      </c>
      <c r="F27" s="6"/>
    </row>
    <row r="28" spans="1:18">
      <c r="A28" s="174" t="s">
        <v>52</v>
      </c>
      <c r="B28" s="34">
        <f>IF(ISERROR(TER_handel_ele_kWh/1000),0,TER_handel_ele_kWh/1000)</f>
        <v>2183.1853760521399</v>
      </c>
      <c r="C28" s="40">
        <f>IF(ISERROR(B28*3.6/1000000/'E Balans VL '!Z13*100),0,B28*3.6/1000000/'E Balans VL '!Z13*100)</f>
        <v>6.1152190777905825E-2</v>
      </c>
      <c r="D28" s="240" t="s">
        <v>707</v>
      </c>
      <c r="F28" s="6"/>
    </row>
    <row r="29" spans="1:18">
      <c r="A29" s="234" t="s">
        <v>51</v>
      </c>
      <c r="B29" s="34">
        <f>IF(ISERROR(TER_gezond_ele_kWh/1000),0,TER_gezond_ele_kWh/1000)</f>
        <v>55.878059483821495</v>
      </c>
      <c r="C29" s="40">
        <f>IF(ISERROR(B29*3.6/1000000/'E Balans VL '!Z10*100),0,B29*3.6/1000000/'E Balans VL '!Z10*100)</f>
        <v>7.1484934924485469E-3</v>
      </c>
      <c r="D29" s="240" t="s">
        <v>707</v>
      </c>
      <c r="F29" s="6"/>
    </row>
    <row r="30" spans="1:18">
      <c r="A30" s="234" t="s">
        <v>50</v>
      </c>
      <c r="B30" s="34">
        <f>IF(ISERROR(TER_ander_ele_kWh/1000),0,TER_ander_ele_kWh/1000)</f>
        <v>898.53537987059997</v>
      </c>
      <c r="C30" s="40">
        <f>IF(ISERROR(B30*3.6/1000000/'E Balans VL '!Z14*100),0,B30*3.6/1000000/'E Balans VL '!Z14*100)</f>
        <v>6.7202875222949696E-2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4182.4152177434398</v>
      </c>
      <c r="C32" s="40">
        <f>IF(ISERROR(B32*3.6/1000000/'E Balans VL '!Z8*100),0,B32*3.6/1000000/'E Balans VL '!Z8*100)</f>
        <v>3.4454452433231503E-2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3901.2491931124141</v>
      </c>
      <c r="C5" s="18">
        <f>IF(ISERROR('Eigen informatie GS &amp; warmtenet'!B59),0,'Eigen informatie GS &amp; warmtenet'!B59)</f>
        <v>0</v>
      </c>
      <c r="D5" s="31">
        <f>SUM(D6:D15)</f>
        <v>5007.2958173868074</v>
      </c>
      <c r="E5" s="18">
        <f>SUM(E6:E15)</f>
        <v>34.223490408637488</v>
      </c>
      <c r="F5" s="18">
        <f>SUM(F6:F15)</f>
        <v>873.44744942203238</v>
      </c>
      <c r="G5" s="19"/>
      <c r="H5" s="18"/>
      <c r="I5" s="18"/>
      <c r="J5" s="18">
        <f>SUM(J6:J15)</f>
        <v>42.015893369604569</v>
      </c>
      <c r="K5" s="18"/>
      <c r="L5" s="18"/>
      <c r="M5" s="18"/>
      <c r="N5" s="18">
        <f>SUM(N6:N15)</f>
        <v>73.342380070779143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2295.8953075741701</v>
      </c>
      <c r="C8" s="34"/>
      <c r="D8" s="38">
        <f>IF( ISERROR(IND_metaal_Gas_kWH/1000),0,IND_metaal_Gas_kWH/1000)*0.902</f>
        <v>0</v>
      </c>
      <c r="E8" s="34">
        <f>C30*'E Balans VL '!I18/100/3.6*1000000</f>
        <v>20.908304817379062</v>
      </c>
      <c r="F8" s="34">
        <f>C30*'E Balans VL '!L18/100/3.6*1000000+C30*'E Balans VL '!N18/100/3.6*1000000</f>
        <v>302.81115574060624</v>
      </c>
      <c r="G8" s="35"/>
      <c r="H8" s="34"/>
      <c r="I8" s="34"/>
      <c r="J8" s="41">
        <f>C30*'E Balans VL '!D18/100/3.6*1000000+C30*'E Balans VL '!E18/100/3.6*1000000</f>
        <v>37.649349524266256</v>
      </c>
      <c r="K8" s="34"/>
      <c r="L8" s="34"/>
      <c r="M8" s="34"/>
      <c r="N8" s="34">
        <f>C30*'E Balans VL '!Y18/100/3.6*1000000</f>
        <v>7.8900801300610546</v>
      </c>
      <c r="O8" s="34"/>
      <c r="P8" s="34"/>
      <c r="R8" s="33"/>
    </row>
    <row r="9" spans="1:18">
      <c r="A9" s="6" t="s">
        <v>33</v>
      </c>
      <c r="B9" s="38">
        <f t="shared" si="0"/>
        <v>464.74260211453498</v>
      </c>
      <c r="C9" s="34"/>
      <c r="D9" s="38">
        <f>IF( ISERROR(IND_andere_gas_kWh/1000),0,IND_andere_gas_kWh/1000)*0.902</f>
        <v>210.67916473789313</v>
      </c>
      <c r="E9" s="34">
        <f>C31*'E Balans VL '!I19/100/3.6*1000000</f>
        <v>2.6862816902594786</v>
      </c>
      <c r="F9" s="34">
        <f>C31*'E Balans VL '!L19/100/3.6*1000000+C31*'E Balans VL '!N19/100/3.6*1000000</f>
        <v>369.72510251120855</v>
      </c>
      <c r="G9" s="35"/>
      <c r="H9" s="34"/>
      <c r="I9" s="34"/>
      <c r="J9" s="41">
        <f>C31*'E Balans VL '!D19/100/3.6*1000000+C31*'E Balans VL '!E19/100/3.6*1000000</f>
        <v>4.3959487945424244E-2</v>
      </c>
      <c r="K9" s="34"/>
      <c r="L9" s="34"/>
      <c r="M9" s="34"/>
      <c r="N9" s="34">
        <f>C31*'E Balans VL '!Y19/100/3.6*1000000</f>
        <v>35.21128520276622</v>
      </c>
      <c r="O9" s="34"/>
      <c r="P9" s="34"/>
      <c r="R9" s="33"/>
    </row>
    <row r="10" spans="1:18">
      <c r="A10" s="6" t="s">
        <v>41</v>
      </c>
      <c r="B10" s="38">
        <f t="shared" si="0"/>
        <v>283.92868056983798</v>
      </c>
      <c r="C10" s="34"/>
      <c r="D10" s="38">
        <f>IF( ISERROR(IND_voed_gas_kWh/1000),0,IND_voed_gas_kWh/1000)*0.902</f>
        <v>0</v>
      </c>
      <c r="E10" s="34">
        <f>C32*'E Balans VL '!I20/100/3.6*1000000</f>
        <v>2.791761730392464</v>
      </c>
      <c r="F10" s="34">
        <f>C32*'E Balans VL '!L20/100/3.6*1000000+C32*'E Balans VL '!N20/100/3.6*1000000</f>
        <v>31.533985997380555</v>
      </c>
      <c r="G10" s="35"/>
      <c r="H10" s="34"/>
      <c r="I10" s="34"/>
      <c r="J10" s="41">
        <f>C32*'E Balans VL '!D20/100/3.6*1000000+C32*'E Balans VL '!E20/100/3.6*1000000</f>
        <v>1.1190918259907489E-3</v>
      </c>
      <c r="K10" s="34"/>
      <c r="L10" s="34"/>
      <c r="M10" s="34"/>
      <c r="N10" s="34">
        <f>C32*'E Balans VL '!Y20/100/3.6*1000000</f>
        <v>4.2043158885838725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8.5088787300541</v>
      </c>
      <c r="C12" s="34"/>
      <c r="D12" s="38">
        <f>IF( ISERROR(IND_min_gas_kWh/1000),0,IND_min_gas_kWh/1000)*0.902</f>
        <v>0</v>
      </c>
      <c r="E12" s="34">
        <f>C34*'E Balans VL '!I22/100/3.6*1000000</f>
        <v>0.21571521731468979</v>
      </c>
      <c r="F12" s="34">
        <f>C34*'E Balans VL '!L22/100/3.6*1000000+C34*'E Balans VL '!N22/100/3.6*1000000</f>
        <v>2.3544364030709373</v>
      </c>
      <c r="G12" s="35"/>
      <c r="H12" s="34"/>
      <c r="I12" s="34"/>
      <c r="J12" s="41">
        <f>C34*'E Balans VL '!D22/100/3.6*1000000+C34*'E Balans VL '!E22/100/3.6*1000000</f>
        <v>5.6194345000352912E-2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848.17372412381701</v>
      </c>
      <c r="C15" s="34"/>
      <c r="D15" s="38">
        <f>IF( ISERROR(IND_rest_gas_kWh/1000),0,IND_rest_gas_kWh/1000)*0.902</f>
        <v>4796.6166526489142</v>
      </c>
      <c r="E15" s="34">
        <f>C37*'E Balans VL '!I15/100/3.6*1000000</f>
        <v>7.621426953291798</v>
      </c>
      <c r="F15" s="34">
        <f>C37*'E Balans VL '!L15/100/3.6*1000000+C37*'E Balans VL '!N15/100/3.6*1000000</f>
        <v>167.02276876976595</v>
      </c>
      <c r="G15" s="35"/>
      <c r="H15" s="34"/>
      <c r="I15" s="34"/>
      <c r="J15" s="41">
        <f>C37*'E Balans VL '!D15/100/3.6*1000000+C37*'E Balans VL '!E15/100/3.6*1000000</f>
        <v>4.2652709205665538</v>
      </c>
      <c r="K15" s="34"/>
      <c r="L15" s="34"/>
      <c r="M15" s="34"/>
      <c r="N15" s="34">
        <f>C37*'E Balans VL '!Y15/100/3.6*1000000</f>
        <v>26.036698849367998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3901.2491931124141</v>
      </c>
      <c r="C18" s="22">
        <f>C5+C16</f>
        <v>0</v>
      </c>
      <c r="D18" s="22">
        <f>MAX((D5+D16),0)</f>
        <v>5007.2958173868074</v>
      </c>
      <c r="E18" s="22">
        <f>MAX((E5+E16),0)</f>
        <v>34.223490408637488</v>
      </c>
      <c r="F18" s="22">
        <f>MAX((F5+F16),0)</f>
        <v>873.44744942203238</v>
      </c>
      <c r="G18" s="22"/>
      <c r="H18" s="22"/>
      <c r="I18" s="22"/>
      <c r="J18" s="22">
        <f>MAX((J5+J16),0)</f>
        <v>42.015893369604569</v>
      </c>
      <c r="K18" s="22"/>
      <c r="L18" s="22">
        <f>MAX((L5+L16),0)</f>
        <v>0</v>
      </c>
      <c r="M18" s="22"/>
      <c r="N18" s="22">
        <f>MAX((N5+N16),0)</f>
        <v>73.342380070779143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0.20487644661577087</v>
      </c>
      <c r="C20" s="26">
        <f ca="1">'EF ele_warmte'!B22</f>
        <v>0.23601183397385345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799.27407204751466</v>
      </c>
      <c r="C22" s="24">
        <f ca="1">C18*C20</f>
        <v>0</v>
      </c>
      <c r="D22" s="24">
        <f>D18*D20</f>
        <v>1011.4737551121351</v>
      </c>
      <c r="E22" s="24">
        <f>E18*E20</f>
        <v>7.7687323227607097</v>
      </c>
      <c r="F22" s="24">
        <f>F18*F20</f>
        <v>233.21046899568265</v>
      </c>
      <c r="G22" s="24"/>
      <c r="H22" s="24"/>
      <c r="I22" s="24"/>
      <c r="J22" s="24">
        <f>J18*J20</f>
        <v>14.873626252840017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2295.8953075741701</v>
      </c>
      <c r="C30" s="40">
        <f>IF(ISERROR(B30*3.6/1000000/'E Balans VL '!Z18*100),0,B30*3.6/1000000/'E Balans VL '!Z18*100)</f>
        <v>0.12775122134630146</v>
      </c>
      <c r="D30" s="240" t="s">
        <v>707</v>
      </c>
    </row>
    <row r="31" spans="1:18">
      <c r="A31" s="6" t="s">
        <v>33</v>
      </c>
      <c r="B31" s="38">
        <f>IF( ISERROR(IND_ander_ele_kWh/1000),0,IND_ander_ele_kWh/1000)</f>
        <v>464.74260211453498</v>
      </c>
      <c r="C31" s="40">
        <f>IF(ISERROR(B31*3.6/1000000/'E Balans VL '!Z19*100),0,B31*3.6/1000000/'E Balans VL '!Z19*100)</f>
        <v>2.1604663017546388E-2</v>
      </c>
      <c r="D31" s="240" t="s">
        <v>707</v>
      </c>
    </row>
    <row r="32" spans="1:18">
      <c r="A32" s="174" t="s">
        <v>41</v>
      </c>
      <c r="B32" s="38">
        <f>IF( ISERROR(IND_voed_ele_kWh/1000),0,IND_voed_ele_kWh/1000)</f>
        <v>283.92868056983798</v>
      </c>
      <c r="C32" s="40">
        <f>IF(ISERROR(B32*3.6/1000000/'E Balans VL '!Z20*100),0,B32*3.6/1000000/'E Balans VL '!Z20*100)</f>
        <v>1.0036305439888846E-2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8.5088787300541</v>
      </c>
      <c r="C34" s="40">
        <f>IF(ISERROR(B34*3.6/1000000/'E Balans VL '!Z22*100),0,B34*3.6/1000000/'E Balans VL '!Z22*100)</f>
        <v>1.7100446824669206E-3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848.17372412381701</v>
      </c>
      <c r="C37" s="40">
        <f>IF(ISERROR(B37*3.6/1000000/'E Balans VL '!Z15*100),0,B37*3.6/1000000/'E Balans VL '!Z15*100)</f>
        <v>6.4049645591889416E-3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6340.3533703988351</v>
      </c>
      <c r="C5" s="18">
        <f>'Eigen informatie GS &amp; warmtenet'!B60</f>
        <v>0</v>
      </c>
      <c r="D5" s="31">
        <f>IF(ISERROR(SUM(LB_lb_gas_kWh,LB_rest_gas_kWh)/1000),0,SUM(LB_lb_gas_kWh,LB_rest_gas_kWh)/1000)*0.902</f>
        <v>17525.822525485168</v>
      </c>
      <c r="E5" s="18">
        <f>B17*'E Balans VL '!I25/3.6*1000000/100</f>
        <v>59.73037692526853</v>
      </c>
      <c r="F5" s="18">
        <f>B17*('E Balans VL '!L25/3.6*1000000+'E Balans VL '!N25/3.6*1000000)/100</f>
        <v>20690.677226099215</v>
      </c>
      <c r="G5" s="19"/>
      <c r="H5" s="18"/>
      <c r="I5" s="18"/>
      <c r="J5" s="18">
        <f>('E Balans VL '!D25+'E Balans VL '!E25)/3.6*1000000*landbouw!B17/100</f>
        <v>784.33255139120547</v>
      </c>
      <c r="K5" s="18"/>
      <c r="L5" s="18">
        <f>L6*(-1)</f>
        <v>0</v>
      </c>
      <c r="M5" s="18"/>
      <c r="N5" s="18">
        <f>N6*(-1)</f>
        <v>124.71428571428569</v>
      </c>
      <c r="O5" s="18"/>
      <c r="P5" s="18"/>
      <c r="R5" s="33"/>
    </row>
    <row r="6" spans="1:18">
      <c r="A6" s="17" t="s">
        <v>502</v>
      </c>
      <c r="B6" s="18" t="s">
        <v>211</v>
      </c>
      <c r="C6" s="18">
        <f>'lokale energieproductie'!O92+'lokale energieproductie'!O61</f>
        <v>9062.3571428571431</v>
      </c>
      <c r="D6" s="312">
        <f>('lokale energieproductie'!P61+'lokale energieproductie'!P92)*(-1)</f>
        <v>-18000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6340.3533703988351</v>
      </c>
      <c r="C8" s="22">
        <f>C5+C6</f>
        <v>9062.3571428571431</v>
      </c>
      <c r="D8" s="22">
        <f>MAX((D5+D6),0)</f>
        <v>0</v>
      </c>
      <c r="E8" s="22">
        <f>MAX((E5+E6),0)</f>
        <v>59.73037692526853</v>
      </c>
      <c r="F8" s="22">
        <f>MAX((F5+F6),0)</f>
        <v>20690.677226099215</v>
      </c>
      <c r="G8" s="22"/>
      <c r="H8" s="22"/>
      <c r="I8" s="22"/>
      <c r="J8" s="22">
        <f>MAX((J5+J6),0)</f>
        <v>784.33255139120547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0.20487644661577087</v>
      </c>
      <c r="C10" s="32">
        <f ca="1">'EF ele_warmte'!B22</f>
        <v>0.23601183397385345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1298.9890688156399</v>
      </c>
      <c r="C12" s="24">
        <f ca="1">C8*C10</f>
        <v>2138.8235294117649</v>
      </c>
      <c r="D12" s="24">
        <f>D8*D10</f>
        <v>0</v>
      </c>
      <c r="E12" s="24">
        <f>E8*E10</f>
        <v>13.558795562035957</v>
      </c>
      <c r="F12" s="24">
        <f>F8*F10</f>
        <v>5524.4108193684906</v>
      </c>
      <c r="G12" s="24"/>
      <c r="H12" s="24"/>
      <c r="I12" s="24"/>
      <c r="J12" s="24">
        <f>J8*J10</f>
        <v>277.65372319248672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0.85838253074389625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1187.4666440031804</v>
      </c>
      <c r="C26" s="250">
        <f>B26*'GWP N2O_CH4'!B5</f>
        <v>24936.799524066788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508.22963432991708</v>
      </c>
      <c r="C27" s="250">
        <f>B27*'GWP N2O_CH4'!B5</f>
        <v>10672.822320928259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16.597832545952581</v>
      </c>
      <c r="C28" s="250">
        <f>B28*'GWP N2O_CH4'!B4</f>
        <v>5145.3280892453004</v>
      </c>
      <c r="D28" s="51"/>
    </row>
    <row r="29" spans="1:4">
      <c r="A29" s="42" t="s">
        <v>277</v>
      </c>
      <c r="B29" s="250">
        <f>B34*'ha_N2O bodem landbouw'!B4</f>
        <v>37.300412508551979</v>
      </c>
      <c r="C29" s="250">
        <f>B29*'GWP N2O_CH4'!B4</f>
        <v>11563.127877651114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1.0069937150370085E-2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9.7155174378365636E-6</v>
      </c>
      <c r="C5" s="447" t="s">
        <v>211</v>
      </c>
      <c r="D5" s="432">
        <f>SUM(D6:D11)</f>
        <v>2.8161486173738421E-5</v>
      </c>
      <c r="E5" s="432">
        <f>SUM(E6:E11)</f>
        <v>1.6201995799331181E-3</v>
      </c>
      <c r="F5" s="445" t="s">
        <v>211</v>
      </c>
      <c r="G5" s="432">
        <f>SUM(G6:G11)</f>
        <v>0.3308765388263194</v>
      </c>
      <c r="H5" s="432">
        <f>SUM(H6:H11)</f>
        <v>6.232653735857855E-2</v>
      </c>
      <c r="I5" s="447" t="s">
        <v>211</v>
      </c>
      <c r="J5" s="447" t="s">
        <v>211</v>
      </c>
      <c r="K5" s="447" t="s">
        <v>211</v>
      </c>
      <c r="L5" s="447" t="s">
        <v>211</v>
      </c>
      <c r="M5" s="432">
        <f>SUM(M6:M11)</f>
        <v>1.7585038202866481E-2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7.4281686051966334E-6</v>
      </c>
      <c r="C6" s="433"/>
      <c r="D6" s="433">
        <f>vkm_2011_GW_PW*SUMIFS(TableVerdeelsleutelVkm[CNG],TableVerdeelsleutelVkm[Voertuigtype],"Lichte voertuigen")*SUMIFS(TableECFTransport[EnergieConsumptieFactor (PJ per km)],TableECFTransport[Index],CONCATENATE($A6,"_CNG_CNG"))</f>
        <v>1.8139712134220524E-5</v>
      </c>
      <c r="E6" s="435">
        <f>vkm_2011_GW_PW*SUMIFS(TableVerdeelsleutelVkm[LPG],TableVerdeelsleutelVkm[Voertuigtype],"Lichte voertuigen")*SUMIFS(TableECFTransport[EnergieConsumptieFactor (PJ per km)],TableECFTransport[Index],CONCATENATE($A6,"_LPG_LPG"))</f>
        <v>1.0752283918053016E-3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0.15543691245925456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4.0735549135796613E-2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8.7849641039727915E-3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8.3245410948303691E-2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3.3586277851862517E-5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3.708557301797125E-3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2.2873488326399311E-6</v>
      </c>
      <c r="C8" s="433"/>
      <c r="D8" s="435">
        <f>vkm_2011_NGW_PW*SUMIFS(TableVerdeelsleutelVkm[CNG],TableVerdeelsleutelVkm[Voertuigtype],"Lichte voertuigen")*SUMIFS(TableECFTransport[EnergieConsumptieFactor (PJ per km)],TableECFTransport[Index],CONCATENATE($A8,"_CNG_CNG"))</f>
        <v>1.0021774039517897E-5</v>
      </c>
      <c r="E8" s="435">
        <f>vkm_2011_NGW_PW*SUMIFS(TableVerdeelsleutelVkm[LPG],TableVerdeelsleutelVkm[Voertuigtype],"Lichte voertuigen")*SUMIFS(TableECFTransport[EnergieConsumptieFactor (PJ per km)],TableECFTransport[Index],CONCATENATE($A8,"_LPG_LPG"))</f>
        <v>5.4497118812781638E-4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7.4424166590004795E-2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2.1551159473769725E-2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4.2999090213181167E-3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1.7770048828756407E-2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6.2424711603499791E-6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7.916077757784475E-4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2.6987548438434898</v>
      </c>
      <c r="C14" s="22"/>
      <c r="D14" s="22">
        <f t="shared" ref="D14:M14" si="0">((D5)*10^9/3600)+D12</f>
        <v>7.8226350482606719</v>
      </c>
      <c r="E14" s="22">
        <f t="shared" si="0"/>
        <v>450.05543887031058</v>
      </c>
      <c r="F14" s="22"/>
      <c r="G14" s="22">
        <f t="shared" si="0"/>
        <v>91910.149673977605</v>
      </c>
      <c r="H14" s="22">
        <f t="shared" si="0"/>
        <v>17312.927044049597</v>
      </c>
      <c r="I14" s="22"/>
      <c r="J14" s="22"/>
      <c r="K14" s="22"/>
      <c r="L14" s="22"/>
      <c r="M14" s="22">
        <f t="shared" si="0"/>
        <v>4884.7328341295779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0.20487644661577087</v>
      </c>
      <c r="C16" s="57">
        <f ca="1">'EF ele_warmte'!B22</f>
        <v>0.23601183397385345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0.55291130269375377</v>
      </c>
      <c r="C18" s="24"/>
      <c r="D18" s="24">
        <f t="shared" ref="D18:M18" si="1">D14*D16</f>
        <v>1.5801722797486559</v>
      </c>
      <c r="E18" s="24">
        <f t="shared" si="1"/>
        <v>102.16258462356051</v>
      </c>
      <c r="F18" s="24"/>
      <c r="G18" s="24">
        <f t="shared" si="1"/>
        <v>24540.009962952023</v>
      </c>
      <c r="H18" s="24">
        <f t="shared" si="1"/>
        <v>4310.9188339683496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5.5682727184204264E-3</v>
      </c>
      <c r="H50" s="323">
        <f t="shared" si="2"/>
        <v>0</v>
      </c>
      <c r="I50" s="323">
        <f t="shared" si="2"/>
        <v>0</v>
      </c>
      <c r="J50" s="323">
        <f t="shared" si="2"/>
        <v>0</v>
      </c>
      <c r="K50" s="323">
        <f t="shared" si="2"/>
        <v>0</v>
      </c>
      <c r="L50" s="323">
        <f t="shared" si="2"/>
        <v>0</v>
      </c>
      <c r="M50" s="323">
        <f t="shared" si="2"/>
        <v>2.4451204050624929E-4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5.5682727184204264E-3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2.4451204050624929E-4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1546.7424217834518</v>
      </c>
      <c r="H54" s="22">
        <f t="shared" si="3"/>
        <v>0</v>
      </c>
      <c r="I54" s="22">
        <f t="shared" si="3"/>
        <v>0</v>
      </c>
      <c r="J54" s="22">
        <f t="shared" si="3"/>
        <v>0</v>
      </c>
      <c r="K54" s="22">
        <f t="shared" si="3"/>
        <v>0</v>
      </c>
      <c r="L54" s="22">
        <f t="shared" si="3"/>
        <v>0</v>
      </c>
      <c r="M54" s="22">
        <f t="shared" si="3"/>
        <v>67.920011251735914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0.20487644661577087</v>
      </c>
      <c r="C56" s="57">
        <f ca="1">'EF ele_warmte'!B22</f>
        <v>0.23601183397385345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412.98022661618165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10506.48308231314</v>
      </c>
      <c r="D10" s="688">
        <f ca="1">tertiair!C16</f>
        <v>0</v>
      </c>
      <c r="E10" s="688">
        <f ca="1">tertiair!D16</f>
        <v>8788.5648868410062</v>
      </c>
      <c r="F10" s="688">
        <f>tertiair!E16</f>
        <v>98.206088202239897</v>
      </c>
      <c r="G10" s="688">
        <f ca="1">tertiair!F16</f>
        <v>1897.256321900792</v>
      </c>
      <c r="H10" s="688">
        <f>tertiair!G16</f>
        <v>0</v>
      </c>
      <c r="I10" s="688">
        <f>tertiair!H16</f>
        <v>0</v>
      </c>
      <c r="J10" s="688">
        <f>tertiair!I16</f>
        <v>0</v>
      </c>
      <c r="K10" s="688">
        <f>tertiair!J16</f>
        <v>0</v>
      </c>
      <c r="L10" s="688">
        <f>tertiair!K16</f>
        <v>0</v>
      </c>
      <c r="M10" s="688">
        <f ca="1">tertiair!L16</f>
        <v>0</v>
      </c>
      <c r="N10" s="688">
        <f>tertiair!M16</f>
        <v>0</v>
      </c>
      <c r="O10" s="688">
        <f ca="1">tertiair!N16</f>
        <v>805.11731593256968</v>
      </c>
      <c r="P10" s="688">
        <f>tertiair!O16</f>
        <v>1.5633333333333335</v>
      </c>
      <c r="Q10" s="689">
        <f>tertiair!P16</f>
        <v>0</v>
      </c>
      <c r="R10" s="691">
        <f ca="1">SUM(C10:Q10)</f>
        <v>22097.191028523084</v>
      </c>
      <c r="S10" s="68"/>
    </row>
    <row r="11" spans="1:19" s="457" customFormat="1">
      <c r="A11" s="803" t="s">
        <v>225</v>
      </c>
      <c r="B11" s="808"/>
      <c r="C11" s="688">
        <f>huishoudens!B8</f>
        <v>28878.172537404007</v>
      </c>
      <c r="D11" s="688">
        <f>huishoudens!C8</f>
        <v>0</v>
      </c>
      <c r="E11" s="688">
        <f>huishoudens!D8</f>
        <v>36223.565456279801</v>
      </c>
      <c r="F11" s="688">
        <f>huishoudens!E8</f>
        <v>6807.1134376965156</v>
      </c>
      <c r="G11" s="688">
        <f>huishoudens!F8</f>
        <v>34704.690569610953</v>
      </c>
      <c r="H11" s="688">
        <f>huishoudens!G8</f>
        <v>0</v>
      </c>
      <c r="I11" s="688">
        <f>huishoudens!H8</f>
        <v>0</v>
      </c>
      <c r="J11" s="688">
        <f>huishoudens!I8</f>
        <v>0</v>
      </c>
      <c r="K11" s="688">
        <f>huishoudens!J8</f>
        <v>6939.3884388500664</v>
      </c>
      <c r="L11" s="688">
        <f>huishoudens!K8</f>
        <v>0</v>
      </c>
      <c r="M11" s="688">
        <f>huishoudens!L8</f>
        <v>0</v>
      </c>
      <c r="N11" s="688">
        <f>huishoudens!M8</f>
        <v>0</v>
      </c>
      <c r="O11" s="688">
        <f>huishoudens!N8</f>
        <v>16154.669427336061</v>
      </c>
      <c r="P11" s="688">
        <f>huishoudens!O8</f>
        <v>90.673333333333346</v>
      </c>
      <c r="Q11" s="689">
        <f>huishoudens!P8</f>
        <v>266.93333333333334</v>
      </c>
      <c r="R11" s="691">
        <f>SUM(C11:Q11)</f>
        <v>130065.20653384409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3901.2491931124141</v>
      </c>
      <c r="D13" s="688">
        <f>industrie!C18</f>
        <v>0</v>
      </c>
      <c r="E13" s="688">
        <f>industrie!D18</f>
        <v>5007.2958173868074</v>
      </c>
      <c r="F13" s="688">
        <f>industrie!E18</f>
        <v>34.223490408637488</v>
      </c>
      <c r="G13" s="688">
        <f>industrie!F18</f>
        <v>873.44744942203238</v>
      </c>
      <c r="H13" s="688">
        <f>industrie!G18</f>
        <v>0</v>
      </c>
      <c r="I13" s="688">
        <f>industrie!H18</f>
        <v>0</v>
      </c>
      <c r="J13" s="688">
        <f>industrie!I18</f>
        <v>0</v>
      </c>
      <c r="K13" s="688">
        <f>industrie!J18</f>
        <v>42.015893369604569</v>
      </c>
      <c r="L13" s="688">
        <f>industrie!K18</f>
        <v>0</v>
      </c>
      <c r="M13" s="688">
        <f>industrie!L18</f>
        <v>0</v>
      </c>
      <c r="N13" s="688">
        <f>industrie!M18</f>
        <v>0</v>
      </c>
      <c r="O13" s="688">
        <f>industrie!N18</f>
        <v>73.342380070779143</v>
      </c>
      <c r="P13" s="688">
        <f>industrie!O18</f>
        <v>0</v>
      </c>
      <c r="Q13" s="689">
        <f>industrie!P18</f>
        <v>0</v>
      </c>
      <c r="R13" s="691">
        <f>SUM(C13:Q13)</f>
        <v>9931.5742237702743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43285.904812829562</v>
      </c>
      <c r="D16" s="721">
        <f t="shared" ref="D16:R16" ca="1" si="0">SUM(D9:D15)</f>
        <v>0</v>
      </c>
      <c r="E16" s="721">
        <f t="shared" ca="1" si="0"/>
        <v>50019.426160507617</v>
      </c>
      <c r="F16" s="721">
        <f t="shared" si="0"/>
        <v>6939.5430163073925</v>
      </c>
      <c r="G16" s="721">
        <f t="shared" ca="1" si="0"/>
        <v>37475.394340933781</v>
      </c>
      <c r="H16" s="721">
        <f t="shared" si="0"/>
        <v>0</v>
      </c>
      <c r="I16" s="721">
        <f t="shared" si="0"/>
        <v>0</v>
      </c>
      <c r="J16" s="721">
        <f t="shared" si="0"/>
        <v>0</v>
      </c>
      <c r="K16" s="721">
        <f t="shared" si="0"/>
        <v>6981.4043322196712</v>
      </c>
      <c r="L16" s="721">
        <f t="shared" si="0"/>
        <v>0</v>
      </c>
      <c r="M16" s="721">
        <f t="shared" ca="1" si="0"/>
        <v>0</v>
      </c>
      <c r="N16" s="721">
        <f t="shared" si="0"/>
        <v>0</v>
      </c>
      <c r="O16" s="721">
        <f t="shared" ca="1" si="0"/>
        <v>17033.129123339408</v>
      </c>
      <c r="P16" s="721">
        <f t="shared" si="0"/>
        <v>92.236666666666679</v>
      </c>
      <c r="Q16" s="721">
        <f t="shared" si="0"/>
        <v>266.93333333333334</v>
      </c>
      <c r="R16" s="721">
        <f t="shared" ca="1" si="0"/>
        <v>162093.97178613744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1546.7424217834518</v>
      </c>
      <c r="I19" s="688">
        <f>transport!H54</f>
        <v>0</v>
      </c>
      <c r="J19" s="688">
        <f>transport!I54</f>
        <v>0</v>
      </c>
      <c r="K19" s="688">
        <f>transport!J54</f>
        <v>0</v>
      </c>
      <c r="L19" s="688">
        <f>transport!K54</f>
        <v>0</v>
      </c>
      <c r="M19" s="688">
        <f>transport!L54</f>
        <v>0</v>
      </c>
      <c r="N19" s="688">
        <f>transport!M54</f>
        <v>67.920011251735914</v>
      </c>
      <c r="O19" s="688">
        <f>transport!N54</f>
        <v>0</v>
      </c>
      <c r="P19" s="688">
        <f>transport!O54</f>
        <v>0</v>
      </c>
      <c r="Q19" s="689">
        <f>transport!P54</f>
        <v>0</v>
      </c>
      <c r="R19" s="691">
        <f>SUM(C19:Q19)</f>
        <v>1614.6624330351879</v>
      </c>
      <c r="S19" s="68"/>
    </row>
    <row r="20" spans="1:19" s="457" customFormat="1">
      <c r="A20" s="803" t="s">
        <v>307</v>
      </c>
      <c r="B20" s="808"/>
      <c r="C20" s="688">
        <f>transport!B14</f>
        <v>2.6987548438434898</v>
      </c>
      <c r="D20" s="688">
        <f>transport!C14</f>
        <v>0</v>
      </c>
      <c r="E20" s="688">
        <f>transport!D14</f>
        <v>7.8226350482606719</v>
      </c>
      <c r="F20" s="688">
        <f>transport!E14</f>
        <v>450.05543887031058</v>
      </c>
      <c r="G20" s="688">
        <f>transport!F14</f>
        <v>0</v>
      </c>
      <c r="H20" s="688">
        <f>transport!G14</f>
        <v>91910.149673977605</v>
      </c>
      <c r="I20" s="688">
        <f>transport!H14</f>
        <v>17312.927044049597</v>
      </c>
      <c r="J20" s="688">
        <f>transport!I14</f>
        <v>0</v>
      </c>
      <c r="K20" s="688">
        <f>transport!J14</f>
        <v>0</v>
      </c>
      <c r="L20" s="688">
        <f>transport!K14</f>
        <v>0</v>
      </c>
      <c r="M20" s="688">
        <f>transport!L14</f>
        <v>0</v>
      </c>
      <c r="N20" s="688">
        <f>transport!M14</f>
        <v>4884.7328341295779</v>
      </c>
      <c r="O20" s="688">
        <f>transport!N14</f>
        <v>0</v>
      </c>
      <c r="P20" s="688">
        <f>transport!O14</f>
        <v>0</v>
      </c>
      <c r="Q20" s="689">
        <f>transport!P14</f>
        <v>0</v>
      </c>
      <c r="R20" s="691">
        <f>SUM(C20:Q20)</f>
        <v>114568.38638091918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2.6987548438434898</v>
      </c>
      <c r="D22" s="806">
        <f t="shared" ref="D22:R22" si="1">SUM(D18:D21)</f>
        <v>0</v>
      </c>
      <c r="E22" s="806">
        <f t="shared" si="1"/>
        <v>7.8226350482606719</v>
      </c>
      <c r="F22" s="806">
        <f t="shared" si="1"/>
        <v>450.05543887031058</v>
      </c>
      <c r="G22" s="806">
        <f t="shared" si="1"/>
        <v>0</v>
      </c>
      <c r="H22" s="806">
        <f t="shared" si="1"/>
        <v>93456.892095761053</v>
      </c>
      <c r="I22" s="806">
        <f t="shared" si="1"/>
        <v>17312.927044049597</v>
      </c>
      <c r="J22" s="806">
        <f t="shared" si="1"/>
        <v>0</v>
      </c>
      <c r="K22" s="806">
        <f t="shared" si="1"/>
        <v>0</v>
      </c>
      <c r="L22" s="806">
        <f t="shared" si="1"/>
        <v>0</v>
      </c>
      <c r="M22" s="806">
        <f t="shared" si="1"/>
        <v>0</v>
      </c>
      <c r="N22" s="806">
        <f t="shared" si="1"/>
        <v>4952.6528453813135</v>
      </c>
      <c r="O22" s="806">
        <f t="shared" si="1"/>
        <v>0</v>
      </c>
      <c r="P22" s="806">
        <f t="shared" si="1"/>
        <v>0</v>
      </c>
      <c r="Q22" s="806">
        <f t="shared" si="1"/>
        <v>0</v>
      </c>
      <c r="R22" s="806">
        <f t="shared" si="1"/>
        <v>116183.04881395437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6340.3533703988351</v>
      </c>
      <c r="D24" s="688">
        <f>+landbouw!C8</f>
        <v>9062.3571428571431</v>
      </c>
      <c r="E24" s="688">
        <f>+landbouw!D8</f>
        <v>0</v>
      </c>
      <c r="F24" s="688">
        <f>+landbouw!E8</f>
        <v>59.73037692526853</v>
      </c>
      <c r="G24" s="688">
        <f>+landbouw!F8</f>
        <v>20690.677226099215</v>
      </c>
      <c r="H24" s="688">
        <f>+landbouw!G8</f>
        <v>0</v>
      </c>
      <c r="I24" s="688">
        <f>+landbouw!H8</f>
        <v>0</v>
      </c>
      <c r="J24" s="688">
        <f>+landbouw!I8</f>
        <v>0</v>
      </c>
      <c r="K24" s="688">
        <f>+landbouw!J8</f>
        <v>784.33255139120547</v>
      </c>
      <c r="L24" s="688">
        <f>+landbouw!K8</f>
        <v>0</v>
      </c>
      <c r="M24" s="688">
        <f>+landbouw!L8</f>
        <v>0</v>
      </c>
      <c r="N24" s="688">
        <f>+landbouw!M8</f>
        <v>0</v>
      </c>
      <c r="O24" s="688">
        <f>+landbouw!N8</f>
        <v>0</v>
      </c>
      <c r="P24" s="688">
        <f>+landbouw!O8</f>
        <v>0</v>
      </c>
      <c r="Q24" s="689">
        <f>+landbouw!P8</f>
        <v>0</v>
      </c>
      <c r="R24" s="691">
        <f>SUM(C24:Q24)</f>
        <v>36937.450667671663</v>
      </c>
      <c r="S24" s="68"/>
    </row>
    <row r="25" spans="1:19" s="457" customFormat="1" ht="15" thickBot="1">
      <c r="A25" s="825" t="s">
        <v>912</v>
      </c>
      <c r="B25" s="1001"/>
      <c r="C25" s="1002">
        <f>IF(Onbekend_ele_kWh="---",0,Onbekend_ele_kWh)/1000+IF(REST_rest_ele_kWh="---",0,REST_rest_ele_kWh)/1000</f>
        <v>927.45870362171797</v>
      </c>
      <c r="D25" s="1002"/>
      <c r="E25" s="1002">
        <f>IF(onbekend_gas_kWh="---",0,onbekend_gas_kWh)/1000+IF(REST_rest_gas_kWh="---",0,REST_rest_gas_kWh)/1000</f>
        <v>1887.9862622901699</v>
      </c>
      <c r="F25" s="1002"/>
      <c r="G25" s="1002"/>
      <c r="H25" s="1002"/>
      <c r="I25" s="1002"/>
      <c r="J25" s="1002"/>
      <c r="K25" s="1002"/>
      <c r="L25" s="1002"/>
      <c r="M25" s="1002"/>
      <c r="N25" s="1002"/>
      <c r="O25" s="1002"/>
      <c r="P25" s="1002"/>
      <c r="Q25" s="1003"/>
      <c r="R25" s="691">
        <f>SUM(C25:Q25)</f>
        <v>2815.4449659118877</v>
      </c>
      <c r="S25" s="68"/>
    </row>
    <row r="26" spans="1:19" s="457" customFormat="1" ht="15.75" thickBot="1">
      <c r="A26" s="694" t="s">
        <v>913</v>
      </c>
      <c r="B26" s="811"/>
      <c r="C26" s="806">
        <f>SUM(C24:C25)</f>
        <v>7267.8120740205532</v>
      </c>
      <c r="D26" s="806">
        <f t="shared" ref="D26:R26" si="2">SUM(D24:D25)</f>
        <v>9062.3571428571431</v>
      </c>
      <c r="E26" s="806">
        <f t="shared" si="2"/>
        <v>1887.9862622901699</v>
      </c>
      <c r="F26" s="806">
        <f t="shared" si="2"/>
        <v>59.73037692526853</v>
      </c>
      <c r="G26" s="806">
        <f t="shared" si="2"/>
        <v>20690.677226099215</v>
      </c>
      <c r="H26" s="806">
        <f t="shared" si="2"/>
        <v>0</v>
      </c>
      <c r="I26" s="806">
        <f t="shared" si="2"/>
        <v>0</v>
      </c>
      <c r="J26" s="806">
        <f t="shared" si="2"/>
        <v>0</v>
      </c>
      <c r="K26" s="806">
        <f t="shared" si="2"/>
        <v>784.33255139120547</v>
      </c>
      <c r="L26" s="806">
        <f t="shared" si="2"/>
        <v>0</v>
      </c>
      <c r="M26" s="806">
        <f t="shared" si="2"/>
        <v>0</v>
      </c>
      <c r="N26" s="806">
        <f t="shared" si="2"/>
        <v>0</v>
      </c>
      <c r="O26" s="806">
        <f t="shared" si="2"/>
        <v>0</v>
      </c>
      <c r="P26" s="806">
        <f t="shared" si="2"/>
        <v>0</v>
      </c>
      <c r="Q26" s="806">
        <f t="shared" si="2"/>
        <v>0</v>
      </c>
      <c r="R26" s="806">
        <f t="shared" si="2"/>
        <v>39752.895633583554</v>
      </c>
      <c r="S26" s="68"/>
    </row>
    <row r="27" spans="1:19" s="457" customFormat="1" ht="17.25" thickTop="1" thickBot="1">
      <c r="A27" s="695" t="s">
        <v>116</v>
      </c>
      <c r="B27" s="798"/>
      <c r="C27" s="696">
        <f ca="1">C22+C16+C26</f>
        <v>50556.415641693959</v>
      </c>
      <c r="D27" s="696">
        <f t="shared" ref="D27:R27" ca="1" si="3">D22+D16+D26</f>
        <v>9062.3571428571431</v>
      </c>
      <c r="E27" s="696">
        <f t="shared" ca="1" si="3"/>
        <v>51915.235057846046</v>
      </c>
      <c r="F27" s="696">
        <f t="shared" si="3"/>
        <v>7449.3288321029713</v>
      </c>
      <c r="G27" s="696">
        <f t="shared" ca="1" si="3"/>
        <v>58166.071567032996</v>
      </c>
      <c r="H27" s="696">
        <f t="shared" si="3"/>
        <v>93456.892095761053</v>
      </c>
      <c r="I27" s="696">
        <f t="shared" si="3"/>
        <v>17312.927044049597</v>
      </c>
      <c r="J27" s="696">
        <f t="shared" si="3"/>
        <v>0</v>
      </c>
      <c r="K27" s="696">
        <f t="shared" si="3"/>
        <v>7765.7368836108762</v>
      </c>
      <c r="L27" s="696">
        <f t="shared" si="3"/>
        <v>0</v>
      </c>
      <c r="M27" s="696">
        <f t="shared" ca="1" si="3"/>
        <v>0</v>
      </c>
      <c r="N27" s="696">
        <f t="shared" si="3"/>
        <v>4952.6528453813135</v>
      </c>
      <c r="O27" s="696">
        <f t="shared" ca="1" si="3"/>
        <v>17033.129123339408</v>
      </c>
      <c r="P27" s="696">
        <f t="shared" si="3"/>
        <v>92.236666666666679</v>
      </c>
      <c r="Q27" s="696">
        <f t="shared" si="3"/>
        <v>266.93333333333334</v>
      </c>
      <c r="R27" s="696">
        <f t="shared" ca="1" si="3"/>
        <v>318029.91623367532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2152.5309203330276</v>
      </c>
      <c r="D40" s="688">
        <f ca="1">tertiair!C20</f>
        <v>0</v>
      </c>
      <c r="E40" s="688">
        <f ca="1">tertiair!D20</f>
        <v>1775.2901071418835</v>
      </c>
      <c r="F40" s="688">
        <f>tertiair!E20</f>
        <v>22.292782021908458</v>
      </c>
      <c r="G40" s="688">
        <f ca="1">tertiair!F20</f>
        <v>506.56743794751151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4456.6812474443304</v>
      </c>
    </row>
    <row r="41" spans="1:18">
      <c r="A41" s="816" t="s">
        <v>225</v>
      </c>
      <c r="B41" s="823"/>
      <c r="C41" s="688">
        <f ca="1">huishoudens!B12</f>
        <v>5916.457374220472</v>
      </c>
      <c r="D41" s="688">
        <f ca="1">huishoudens!C12</f>
        <v>0</v>
      </c>
      <c r="E41" s="688">
        <f>huishoudens!D12</f>
        <v>7317.1602221685198</v>
      </c>
      <c r="F41" s="688">
        <f>huishoudens!E12</f>
        <v>1545.2147503571091</v>
      </c>
      <c r="G41" s="688">
        <f>huishoudens!F12</f>
        <v>9266.1523820861257</v>
      </c>
      <c r="H41" s="688">
        <f>huishoudens!G12</f>
        <v>0</v>
      </c>
      <c r="I41" s="688">
        <f>huishoudens!H12</f>
        <v>0</v>
      </c>
      <c r="J41" s="688">
        <f>huishoudens!I12</f>
        <v>0</v>
      </c>
      <c r="K41" s="688">
        <f>huishoudens!J12</f>
        <v>2456.5435073529234</v>
      </c>
      <c r="L41" s="688">
        <f>huishoudens!K12</f>
        <v>0</v>
      </c>
      <c r="M41" s="688">
        <f>huishoudens!L12</f>
        <v>0</v>
      </c>
      <c r="N41" s="688">
        <f>huishoudens!M12</f>
        <v>0</v>
      </c>
      <c r="O41" s="688">
        <f>huishoudens!N12</f>
        <v>0</v>
      </c>
      <c r="P41" s="688">
        <f>huishoudens!O12</f>
        <v>0</v>
      </c>
      <c r="Q41" s="763">
        <f>huishoudens!P12</f>
        <v>0</v>
      </c>
      <c r="R41" s="844">
        <f t="shared" ca="1" si="4"/>
        <v>26501.52823618515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799.27407204751466</v>
      </c>
      <c r="D43" s="688">
        <f ca="1">industrie!C22</f>
        <v>0</v>
      </c>
      <c r="E43" s="688">
        <f>industrie!D22</f>
        <v>1011.4737551121351</v>
      </c>
      <c r="F43" s="688">
        <f>industrie!E22</f>
        <v>7.7687323227607097</v>
      </c>
      <c r="G43" s="688">
        <f>industrie!F22</f>
        <v>233.21046899568265</v>
      </c>
      <c r="H43" s="688">
        <f>industrie!G22</f>
        <v>0</v>
      </c>
      <c r="I43" s="688">
        <f>industrie!H22</f>
        <v>0</v>
      </c>
      <c r="J43" s="688">
        <f>industrie!I22</f>
        <v>0</v>
      </c>
      <c r="K43" s="688">
        <f>industrie!J22</f>
        <v>14.873626252840017</v>
      </c>
      <c r="L43" s="688">
        <f>industrie!K22</f>
        <v>0</v>
      </c>
      <c r="M43" s="688">
        <f>industrie!L22</f>
        <v>0</v>
      </c>
      <c r="N43" s="688">
        <f>industrie!M22</f>
        <v>0</v>
      </c>
      <c r="O43" s="688">
        <f>industrie!N22</f>
        <v>0</v>
      </c>
      <c r="P43" s="688">
        <f>industrie!O22</f>
        <v>0</v>
      </c>
      <c r="Q43" s="763">
        <f>industrie!P22</f>
        <v>0</v>
      </c>
      <c r="R43" s="843">
        <f t="shared" ca="1" si="4"/>
        <v>2066.600654730933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8868.2623666010131</v>
      </c>
      <c r="D46" s="721">
        <f t="shared" ref="D46:Q46" ca="1" si="5">SUM(D39:D45)</f>
        <v>0</v>
      </c>
      <c r="E46" s="721">
        <f t="shared" ca="1" si="5"/>
        <v>10103.924084422537</v>
      </c>
      <c r="F46" s="721">
        <f t="shared" si="5"/>
        <v>1575.2762647017782</v>
      </c>
      <c r="G46" s="721">
        <f t="shared" ca="1" si="5"/>
        <v>10005.93028902932</v>
      </c>
      <c r="H46" s="721">
        <f t="shared" si="5"/>
        <v>0</v>
      </c>
      <c r="I46" s="721">
        <f t="shared" si="5"/>
        <v>0</v>
      </c>
      <c r="J46" s="721">
        <f t="shared" si="5"/>
        <v>0</v>
      </c>
      <c r="K46" s="721">
        <f t="shared" si="5"/>
        <v>2471.4171336057634</v>
      </c>
      <c r="L46" s="721">
        <f t="shared" si="5"/>
        <v>0</v>
      </c>
      <c r="M46" s="721">
        <f t="shared" ca="1" si="5"/>
        <v>0</v>
      </c>
      <c r="N46" s="721">
        <f t="shared" si="5"/>
        <v>0</v>
      </c>
      <c r="O46" s="721">
        <f t="shared" ca="1" si="5"/>
        <v>0</v>
      </c>
      <c r="P46" s="721">
        <f t="shared" si="5"/>
        <v>0</v>
      </c>
      <c r="Q46" s="721">
        <f t="shared" si="5"/>
        <v>0</v>
      </c>
      <c r="R46" s="721">
        <f ca="1">SUM(R39:R45)</f>
        <v>33024.810138360408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412.98022661618165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412.98022661618165</v>
      </c>
    </row>
    <row r="50" spans="1:18">
      <c r="A50" s="819" t="s">
        <v>307</v>
      </c>
      <c r="B50" s="829"/>
      <c r="C50" s="1008">
        <f ca="1">transport!B18</f>
        <v>0.55291130269375377</v>
      </c>
      <c r="D50" s="1008">
        <f>transport!C18</f>
        <v>0</v>
      </c>
      <c r="E50" s="1008">
        <f>transport!D18</f>
        <v>1.5801722797486559</v>
      </c>
      <c r="F50" s="1008">
        <f>transport!E18</f>
        <v>102.16258462356051</v>
      </c>
      <c r="G50" s="1008">
        <f>transport!F18</f>
        <v>0</v>
      </c>
      <c r="H50" s="1008">
        <f>transport!G18</f>
        <v>24540.009962952023</v>
      </c>
      <c r="I50" s="1008">
        <f>transport!H18</f>
        <v>4310.9188339683496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28955.224465126375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0.55291130269375377</v>
      </c>
      <c r="D52" s="721">
        <f t="shared" ref="D52:Q52" ca="1" si="6">SUM(D48:D51)</f>
        <v>0</v>
      </c>
      <c r="E52" s="721">
        <f t="shared" si="6"/>
        <v>1.5801722797486559</v>
      </c>
      <c r="F52" s="721">
        <f t="shared" si="6"/>
        <v>102.16258462356051</v>
      </c>
      <c r="G52" s="721">
        <f t="shared" si="6"/>
        <v>0</v>
      </c>
      <c r="H52" s="721">
        <f t="shared" si="6"/>
        <v>24952.990189568205</v>
      </c>
      <c r="I52" s="721">
        <f t="shared" si="6"/>
        <v>4310.9188339683496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29368.204691742558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1298.9890688156399</v>
      </c>
      <c r="D54" s="1008">
        <f ca="1">+landbouw!C12</f>
        <v>2138.8235294117649</v>
      </c>
      <c r="E54" s="1008">
        <f>+landbouw!D12</f>
        <v>0</v>
      </c>
      <c r="F54" s="1008">
        <f>+landbouw!E12</f>
        <v>13.558795562035957</v>
      </c>
      <c r="G54" s="1008">
        <f>+landbouw!F12</f>
        <v>5524.4108193684906</v>
      </c>
      <c r="H54" s="1008">
        <f>+landbouw!G12</f>
        <v>0</v>
      </c>
      <c r="I54" s="1008">
        <f>+landbouw!H12</f>
        <v>0</v>
      </c>
      <c r="J54" s="1008">
        <f>+landbouw!I12</f>
        <v>0</v>
      </c>
      <c r="K54" s="1008">
        <f>+landbouw!J12</f>
        <v>277.65372319248672</v>
      </c>
      <c r="L54" s="1008">
        <f>+landbouw!K12</f>
        <v>0</v>
      </c>
      <c r="M54" s="1008">
        <f>+landbouw!L12</f>
        <v>0</v>
      </c>
      <c r="N54" s="1008">
        <f>+landbouw!M12</f>
        <v>0</v>
      </c>
      <c r="O54" s="1008">
        <f>+landbouw!N12</f>
        <v>0</v>
      </c>
      <c r="P54" s="1008">
        <f>+landbouw!O12</f>
        <v>0</v>
      </c>
      <c r="Q54" s="1009">
        <f>+landbouw!P12</f>
        <v>0</v>
      </c>
      <c r="R54" s="720">
        <f ca="1">SUM(C54:Q54)</f>
        <v>9253.4359363504173</v>
      </c>
    </row>
    <row r="55" spans="1:18" ht="15" thickBot="1">
      <c r="A55" s="819" t="s">
        <v>912</v>
      </c>
      <c r="B55" s="829"/>
      <c r="C55" s="1008">
        <f ca="1">C25*'EF ele_warmte'!B12</f>
        <v>190.01444358088696</v>
      </c>
      <c r="D55" s="1008"/>
      <c r="E55" s="1008">
        <f>E25*EF_CO2_aardgas</f>
        <v>381.37322498261432</v>
      </c>
      <c r="F55" s="1008"/>
      <c r="G55" s="1008"/>
      <c r="H55" s="1008"/>
      <c r="I55" s="1008"/>
      <c r="J55" s="1008"/>
      <c r="K55" s="1008"/>
      <c r="L55" s="1008"/>
      <c r="M55" s="1008"/>
      <c r="N55" s="1008"/>
      <c r="O55" s="1008"/>
      <c r="P55" s="1008"/>
      <c r="Q55" s="1009"/>
      <c r="R55" s="720">
        <f ca="1">SUM(C55:Q55)</f>
        <v>571.38766856350128</v>
      </c>
    </row>
    <row r="56" spans="1:18" ht="15.75" thickBot="1">
      <c r="A56" s="817" t="s">
        <v>913</v>
      </c>
      <c r="B56" s="830"/>
      <c r="C56" s="721">
        <f ca="1">SUM(C54:C55)</f>
        <v>1489.003512396527</v>
      </c>
      <c r="D56" s="721">
        <f t="shared" ref="D56:Q56" ca="1" si="7">SUM(D54:D55)</f>
        <v>2138.8235294117649</v>
      </c>
      <c r="E56" s="721">
        <f t="shared" si="7"/>
        <v>381.37322498261432</v>
      </c>
      <c r="F56" s="721">
        <f t="shared" si="7"/>
        <v>13.558795562035957</v>
      </c>
      <c r="G56" s="721">
        <f t="shared" si="7"/>
        <v>5524.4108193684906</v>
      </c>
      <c r="H56" s="721">
        <f t="shared" si="7"/>
        <v>0</v>
      </c>
      <c r="I56" s="721">
        <f t="shared" si="7"/>
        <v>0</v>
      </c>
      <c r="J56" s="721">
        <f t="shared" si="7"/>
        <v>0</v>
      </c>
      <c r="K56" s="721">
        <f t="shared" si="7"/>
        <v>277.65372319248672</v>
      </c>
      <c r="L56" s="721">
        <f t="shared" si="7"/>
        <v>0</v>
      </c>
      <c r="M56" s="721">
        <f t="shared" si="7"/>
        <v>0</v>
      </c>
      <c r="N56" s="721">
        <f t="shared" si="7"/>
        <v>0</v>
      </c>
      <c r="O56" s="721">
        <f t="shared" si="7"/>
        <v>0</v>
      </c>
      <c r="P56" s="721">
        <f t="shared" si="7"/>
        <v>0</v>
      </c>
      <c r="Q56" s="722">
        <f t="shared" si="7"/>
        <v>0</v>
      </c>
      <c r="R56" s="723">
        <f ca="1">SUM(R54:R55)</f>
        <v>9824.8236049139177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10357.818790300233</v>
      </c>
      <c r="D61" s="729">
        <f t="shared" ref="D61:Q61" ca="1" si="8">D46+D52+D56</f>
        <v>2138.8235294117649</v>
      </c>
      <c r="E61" s="729">
        <f t="shared" ca="1" si="8"/>
        <v>10486.877481684898</v>
      </c>
      <c r="F61" s="729">
        <f t="shared" si="8"/>
        <v>1690.9976448873747</v>
      </c>
      <c r="G61" s="729">
        <f t="shared" ca="1" si="8"/>
        <v>15530.34110839781</v>
      </c>
      <c r="H61" s="729">
        <f t="shared" si="8"/>
        <v>24952.990189568205</v>
      </c>
      <c r="I61" s="729">
        <f t="shared" si="8"/>
        <v>4310.9188339683496</v>
      </c>
      <c r="J61" s="729">
        <f t="shared" si="8"/>
        <v>0</v>
      </c>
      <c r="K61" s="729">
        <f t="shared" si="8"/>
        <v>2749.0708567982501</v>
      </c>
      <c r="L61" s="729">
        <f t="shared" si="8"/>
        <v>0</v>
      </c>
      <c r="M61" s="729">
        <f t="shared" ca="1" si="8"/>
        <v>0</v>
      </c>
      <c r="N61" s="729">
        <f t="shared" si="8"/>
        <v>0</v>
      </c>
      <c r="O61" s="729">
        <f t="shared" ca="1" si="8"/>
        <v>0</v>
      </c>
      <c r="P61" s="729">
        <f t="shared" si="8"/>
        <v>0</v>
      </c>
      <c r="Q61" s="729">
        <f t="shared" si="8"/>
        <v>0</v>
      </c>
      <c r="R61" s="729">
        <f ca="1">R46+R52+R56</f>
        <v>72217.838435016893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0.20487644661577081</v>
      </c>
      <c r="D63" s="773">
        <f t="shared" ca="1" si="9"/>
        <v>0.23601183397385345</v>
      </c>
      <c r="E63" s="1010">
        <f t="shared" ca="1" si="9"/>
        <v>0.20199999999999993</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4119.3614801011936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43.65</v>
      </c>
      <c r="C76" s="739">
        <f>'lokale energieproductie'!B8*IFERROR(SUM(D76:H76)/SUM(D76:O76),0)</f>
        <v>6300</v>
      </c>
      <c r="D76" s="1020">
        <f>'lokale energieproductie'!C8</f>
        <v>7411.7647058823522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1497.1764705882354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4163.0114801011932</v>
      </c>
      <c r="C78" s="744">
        <f>SUM(C72:C77)</f>
        <v>6300</v>
      </c>
      <c r="D78" s="745">
        <f t="shared" ref="D78:H78" si="10">SUM(D76:D77)</f>
        <v>7411.7647058823522</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1497.1764705882354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62.357142857142847</v>
      </c>
      <c r="C87" s="755">
        <f>'lokale energieproductie'!B17*IFERROR(SUM(D87:H87)/SUM(D87:O87),0)</f>
        <v>9000</v>
      </c>
      <c r="D87" s="766">
        <f>'lokale energieproductie'!C17</f>
        <v>10588.235294117647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2138.8235294117649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9000</v>
      </c>
      <c r="D90" s="744">
        <f t="shared" ref="D90:H90" si="12">SUM(D87:D89)</f>
        <v>10588.235294117647</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2138.8235294117649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4119.3614801011936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6343.65</v>
      </c>
      <c r="C8" s="558">
        <f>B101</f>
        <v>7411.7647058823522</v>
      </c>
      <c r="D8" s="991"/>
      <c r="E8" s="991">
        <f>E101</f>
        <v>0</v>
      </c>
      <c r="F8" s="992"/>
      <c r="G8" s="559"/>
      <c r="H8" s="991">
        <f>I101</f>
        <v>0</v>
      </c>
      <c r="I8" s="991">
        <f>G101+F101</f>
        <v>0</v>
      </c>
      <c r="J8" s="991">
        <f>H101+D101+C101</f>
        <v>51.35294117647058</v>
      </c>
      <c r="K8" s="991"/>
      <c r="L8" s="991"/>
      <c r="M8" s="991"/>
      <c r="N8" s="560"/>
      <c r="O8" s="561">
        <f>C8*$C$12+D8*$D$12+E8*$E$12+F8*$F$12+G8*$G$12+H8*$H$12+I8*$I$12+J8*$J$12</f>
        <v>1497.1764705882354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10463.011480101193</v>
      </c>
      <c r="C10" s="570">
        <f t="shared" ref="C10:L10" si="0">SUM(C8:C9)</f>
        <v>7411.7647058823522</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1497.1764705882354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9062.3571428571431</v>
      </c>
      <c r="C17" s="582">
        <f>B102</f>
        <v>10588.235294117647</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2138.8235294117649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9062.3571428571431</v>
      </c>
      <c r="C20" s="569">
        <f>SUM(C17:C19)</f>
        <v>10588.235294117647</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2138.8235294117649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43002</v>
      </c>
      <c r="C28" s="789">
        <v>9960</v>
      </c>
      <c r="D28" s="642" t="s">
        <v>948</v>
      </c>
      <c r="E28" s="641" t="s">
        <v>949</v>
      </c>
      <c r="F28" s="641" t="s">
        <v>950</v>
      </c>
      <c r="G28" s="641" t="s">
        <v>951</v>
      </c>
      <c r="H28" s="641" t="s">
        <v>952</v>
      </c>
      <c r="I28" s="641" t="s">
        <v>949</v>
      </c>
      <c r="J28" s="788">
        <v>39604</v>
      </c>
      <c r="K28" s="788">
        <v>39632</v>
      </c>
      <c r="L28" s="641" t="s">
        <v>953</v>
      </c>
      <c r="M28" s="641">
        <v>1400</v>
      </c>
      <c r="N28" s="641">
        <v>6300</v>
      </c>
      <c r="O28" s="641">
        <v>9000</v>
      </c>
      <c r="P28" s="641">
        <v>18000</v>
      </c>
      <c r="Q28" s="641">
        <v>0</v>
      </c>
      <c r="R28" s="641">
        <v>0</v>
      </c>
      <c r="S28" s="641">
        <v>0</v>
      </c>
      <c r="T28" s="641">
        <v>0</v>
      </c>
      <c r="U28" s="641">
        <v>0</v>
      </c>
      <c r="V28" s="641">
        <v>0</v>
      </c>
      <c r="W28" s="641"/>
      <c r="X28" s="641">
        <v>10</v>
      </c>
      <c r="Y28" s="641" t="s">
        <v>112</v>
      </c>
      <c r="Z28" s="643" t="s">
        <v>112</v>
      </c>
    </row>
    <row r="29" spans="1:26" s="595" customFormat="1" ht="25.5">
      <c r="A29" s="594"/>
      <c r="B29" s="789">
        <v>43002</v>
      </c>
      <c r="C29" s="789">
        <v>9968</v>
      </c>
      <c r="D29" s="642" t="s">
        <v>954</v>
      </c>
      <c r="E29" s="641" t="s">
        <v>955</v>
      </c>
      <c r="F29" s="641" t="s">
        <v>956</v>
      </c>
      <c r="G29" s="641" t="s">
        <v>951</v>
      </c>
      <c r="H29" s="641" t="s">
        <v>952</v>
      </c>
      <c r="I29" s="641" t="s">
        <v>955</v>
      </c>
      <c r="J29" s="788">
        <v>41242</v>
      </c>
      <c r="K29" s="788">
        <v>41275</v>
      </c>
      <c r="L29" s="641" t="s">
        <v>953</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1409.7</v>
      </c>
      <c r="N58" s="599">
        <f>SUM(N28:N57)</f>
        <v>6343.65</v>
      </c>
      <c r="O58" s="599">
        <f t="shared" ref="O58:W58" si="2">SUM(O28:O57)</f>
        <v>9062.3571428571431</v>
      </c>
      <c r="P58" s="599">
        <f t="shared" si="2"/>
        <v>18000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1409.7</v>
      </c>
      <c r="N61" s="604">
        <f t="shared" si="4"/>
        <v>6343.65</v>
      </c>
      <c r="O61" s="604">
        <f t="shared" si="4"/>
        <v>9062.3571428571431</v>
      </c>
      <c r="P61" s="604">
        <f t="shared" si="4"/>
        <v>18000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7411.7647058823522</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10588.235294117647</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28878.172537404007</v>
      </c>
      <c r="C4" s="461">
        <f>huishoudens!C8</f>
        <v>0</v>
      </c>
      <c r="D4" s="461">
        <f>huishoudens!D8</f>
        <v>36223.565456279801</v>
      </c>
      <c r="E4" s="461">
        <f>huishoudens!E8</f>
        <v>6807.1134376965156</v>
      </c>
      <c r="F4" s="461">
        <f>huishoudens!F8</f>
        <v>34704.690569610953</v>
      </c>
      <c r="G4" s="461">
        <f>huishoudens!G8</f>
        <v>0</v>
      </c>
      <c r="H4" s="461">
        <f>huishoudens!H8</f>
        <v>0</v>
      </c>
      <c r="I4" s="461">
        <f>huishoudens!I8</f>
        <v>0</v>
      </c>
      <c r="J4" s="461">
        <f>huishoudens!J8</f>
        <v>6939.3884388500664</v>
      </c>
      <c r="K4" s="461">
        <f>huishoudens!K8</f>
        <v>0</v>
      </c>
      <c r="L4" s="461">
        <f>huishoudens!L8</f>
        <v>0</v>
      </c>
      <c r="M4" s="461">
        <f>huishoudens!M8</f>
        <v>0</v>
      </c>
      <c r="N4" s="461">
        <f>huishoudens!N8</f>
        <v>16154.669427336061</v>
      </c>
      <c r="O4" s="461">
        <f>huishoudens!O8</f>
        <v>90.673333333333346</v>
      </c>
      <c r="P4" s="462">
        <f>huishoudens!P8</f>
        <v>266.93333333333334</v>
      </c>
      <c r="Q4" s="463">
        <f>SUM(B4:P4)</f>
        <v>130065.20653384409</v>
      </c>
    </row>
    <row r="5" spans="1:17">
      <c r="A5" s="460" t="s">
        <v>156</v>
      </c>
      <c r="B5" s="461">
        <f ca="1">tertiair!B16</f>
        <v>9443.6580823131389</v>
      </c>
      <c r="C5" s="461">
        <f ca="1">tertiair!C16</f>
        <v>0</v>
      </c>
      <c r="D5" s="461">
        <f ca="1">tertiair!D16</f>
        <v>8788.5648868410062</v>
      </c>
      <c r="E5" s="461">
        <f>tertiair!E16</f>
        <v>98.206088202239897</v>
      </c>
      <c r="F5" s="461">
        <f ca="1">tertiair!F16</f>
        <v>1897.256321900792</v>
      </c>
      <c r="G5" s="461">
        <f>tertiair!G16</f>
        <v>0</v>
      </c>
      <c r="H5" s="461">
        <f>tertiair!H16</f>
        <v>0</v>
      </c>
      <c r="I5" s="461">
        <f>tertiair!I16</f>
        <v>0</v>
      </c>
      <c r="J5" s="461">
        <f>tertiair!J16</f>
        <v>0</v>
      </c>
      <c r="K5" s="461">
        <f>tertiair!K16</f>
        <v>0</v>
      </c>
      <c r="L5" s="461">
        <f ca="1">tertiair!L16</f>
        <v>0</v>
      </c>
      <c r="M5" s="461">
        <f>tertiair!M16</f>
        <v>0</v>
      </c>
      <c r="N5" s="461">
        <f ca="1">tertiair!N16</f>
        <v>805.11731593256968</v>
      </c>
      <c r="O5" s="461">
        <f>tertiair!O16</f>
        <v>1.5633333333333335</v>
      </c>
      <c r="P5" s="462">
        <f>tertiair!P16</f>
        <v>0</v>
      </c>
      <c r="Q5" s="460">
        <f t="shared" ref="Q5:Q14" ca="1" si="0">SUM(B5:P5)</f>
        <v>21034.36602852308</v>
      </c>
    </row>
    <row r="6" spans="1:17">
      <c r="A6" s="460" t="s">
        <v>194</v>
      </c>
      <c r="B6" s="461">
        <f>'openbare verlichting'!B8</f>
        <v>1062.825</v>
      </c>
      <c r="C6" s="461"/>
      <c r="D6" s="461"/>
      <c r="E6" s="461"/>
      <c r="F6" s="461"/>
      <c r="G6" s="461"/>
      <c r="H6" s="461"/>
      <c r="I6" s="461"/>
      <c r="J6" s="461"/>
      <c r="K6" s="461"/>
      <c r="L6" s="461"/>
      <c r="M6" s="461"/>
      <c r="N6" s="461"/>
      <c r="O6" s="461"/>
      <c r="P6" s="462"/>
      <c r="Q6" s="460">
        <f t="shared" si="0"/>
        <v>1062.825</v>
      </c>
    </row>
    <row r="7" spans="1:17">
      <c r="A7" s="460" t="s">
        <v>112</v>
      </c>
      <c r="B7" s="461">
        <f>landbouw!B8</f>
        <v>6340.3533703988351</v>
      </c>
      <c r="C7" s="461">
        <f>landbouw!C8</f>
        <v>9062.3571428571431</v>
      </c>
      <c r="D7" s="461">
        <f>landbouw!D8</f>
        <v>0</v>
      </c>
      <c r="E7" s="461">
        <f>landbouw!E8</f>
        <v>59.73037692526853</v>
      </c>
      <c r="F7" s="461">
        <f>landbouw!F8</f>
        <v>20690.677226099215</v>
      </c>
      <c r="G7" s="461">
        <f>landbouw!G8</f>
        <v>0</v>
      </c>
      <c r="H7" s="461">
        <f>landbouw!H8</f>
        <v>0</v>
      </c>
      <c r="I7" s="461">
        <f>landbouw!I8</f>
        <v>0</v>
      </c>
      <c r="J7" s="461">
        <f>landbouw!J8</f>
        <v>784.33255139120547</v>
      </c>
      <c r="K7" s="461">
        <f>landbouw!K8</f>
        <v>0</v>
      </c>
      <c r="L7" s="461">
        <f>landbouw!L8</f>
        <v>0</v>
      </c>
      <c r="M7" s="461">
        <f>landbouw!M8</f>
        <v>0</v>
      </c>
      <c r="N7" s="461">
        <f>landbouw!N8</f>
        <v>0</v>
      </c>
      <c r="O7" s="461">
        <f>landbouw!O8</f>
        <v>0</v>
      </c>
      <c r="P7" s="462">
        <f>landbouw!P8</f>
        <v>0</v>
      </c>
      <c r="Q7" s="460">
        <f t="shared" si="0"/>
        <v>36937.450667671663</v>
      </c>
    </row>
    <row r="8" spans="1:17">
      <c r="A8" s="460" t="s">
        <v>685</v>
      </c>
      <c r="B8" s="461">
        <f>industrie!B18</f>
        <v>3901.2491931124141</v>
      </c>
      <c r="C8" s="461">
        <f>industrie!C18</f>
        <v>0</v>
      </c>
      <c r="D8" s="461">
        <f>industrie!D18</f>
        <v>5007.2958173868074</v>
      </c>
      <c r="E8" s="461">
        <f>industrie!E18</f>
        <v>34.223490408637488</v>
      </c>
      <c r="F8" s="461">
        <f>industrie!F18</f>
        <v>873.44744942203238</v>
      </c>
      <c r="G8" s="461">
        <f>industrie!G18</f>
        <v>0</v>
      </c>
      <c r="H8" s="461">
        <f>industrie!H18</f>
        <v>0</v>
      </c>
      <c r="I8" s="461">
        <f>industrie!I18</f>
        <v>0</v>
      </c>
      <c r="J8" s="461">
        <f>industrie!J18</f>
        <v>42.015893369604569</v>
      </c>
      <c r="K8" s="461">
        <f>industrie!K18</f>
        <v>0</v>
      </c>
      <c r="L8" s="461">
        <f>industrie!L18</f>
        <v>0</v>
      </c>
      <c r="M8" s="461">
        <f>industrie!M18</f>
        <v>0</v>
      </c>
      <c r="N8" s="461">
        <f>industrie!N18</f>
        <v>73.342380070779143</v>
      </c>
      <c r="O8" s="461">
        <f>industrie!O18</f>
        <v>0</v>
      </c>
      <c r="P8" s="462">
        <f>industrie!P18</f>
        <v>0</v>
      </c>
      <c r="Q8" s="460">
        <f t="shared" si="0"/>
        <v>9931.5742237702743</v>
      </c>
    </row>
    <row r="9" spans="1:17" s="466" customFormat="1">
      <c r="A9" s="464" t="s">
        <v>579</v>
      </c>
      <c r="B9" s="465">
        <f>transport!B14</f>
        <v>2.6987548438434898</v>
      </c>
      <c r="C9" s="465">
        <f>transport!C14</f>
        <v>0</v>
      </c>
      <c r="D9" s="465">
        <f>transport!D14</f>
        <v>7.8226350482606719</v>
      </c>
      <c r="E9" s="465">
        <f>transport!E14</f>
        <v>450.05543887031058</v>
      </c>
      <c r="F9" s="465">
        <f>transport!F14</f>
        <v>0</v>
      </c>
      <c r="G9" s="465">
        <f>transport!G14</f>
        <v>91910.149673977605</v>
      </c>
      <c r="H9" s="465">
        <f>transport!H14</f>
        <v>17312.927044049597</v>
      </c>
      <c r="I9" s="465">
        <f>transport!I14</f>
        <v>0</v>
      </c>
      <c r="J9" s="465">
        <f>transport!J14</f>
        <v>0</v>
      </c>
      <c r="K9" s="465">
        <f>transport!K14</f>
        <v>0</v>
      </c>
      <c r="L9" s="465">
        <f>transport!L14</f>
        <v>0</v>
      </c>
      <c r="M9" s="465">
        <f>transport!M14</f>
        <v>4884.7328341295779</v>
      </c>
      <c r="N9" s="465">
        <f>transport!N14</f>
        <v>0</v>
      </c>
      <c r="O9" s="465">
        <f>transport!O14</f>
        <v>0</v>
      </c>
      <c r="P9" s="465">
        <f>transport!P14</f>
        <v>0</v>
      </c>
      <c r="Q9" s="464">
        <f>SUM(B9:P9)</f>
        <v>114568.38638091918</v>
      </c>
    </row>
    <row r="10" spans="1:17">
      <c r="A10" s="460" t="s">
        <v>569</v>
      </c>
      <c r="B10" s="461">
        <f>transport!B54</f>
        <v>0</v>
      </c>
      <c r="C10" s="461">
        <f>transport!C54</f>
        <v>0</v>
      </c>
      <c r="D10" s="461">
        <f>transport!D54</f>
        <v>0</v>
      </c>
      <c r="E10" s="461">
        <f>transport!E54</f>
        <v>0</v>
      </c>
      <c r="F10" s="461">
        <f>transport!F54</f>
        <v>0</v>
      </c>
      <c r="G10" s="461">
        <f>transport!G54</f>
        <v>1546.7424217834518</v>
      </c>
      <c r="H10" s="461">
        <f>transport!H54</f>
        <v>0</v>
      </c>
      <c r="I10" s="461">
        <f>transport!I54</f>
        <v>0</v>
      </c>
      <c r="J10" s="461">
        <f>transport!J54</f>
        <v>0</v>
      </c>
      <c r="K10" s="461">
        <f>transport!K54</f>
        <v>0</v>
      </c>
      <c r="L10" s="461">
        <f>transport!L54</f>
        <v>0</v>
      </c>
      <c r="M10" s="461">
        <f>transport!M54</f>
        <v>67.920011251735914</v>
      </c>
      <c r="N10" s="461">
        <f>transport!N54</f>
        <v>0</v>
      </c>
      <c r="O10" s="461">
        <f>transport!O54</f>
        <v>0</v>
      </c>
      <c r="P10" s="462">
        <f>transport!P54</f>
        <v>0</v>
      </c>
      <c r="Q10" s="460">
        <f t="shared" si="0"/>
        <v>1614.6624330351879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927.45870362171797</v>
      </c>
      <c r="C14" s="468"/>
      <c r="D14" s="468">
        <f>'SEAP template'!E25</f>
        <v>1887.9862622901699</v>
      </c>
      <c r="E14" s="468"/>
      <c r="F14" s="468"/>
      <c r="G14" s="468"/>
      <c r="H14" s="468"/>
      <c r="I14" s="468"/>
      <c r="J14" s="468"/>
      <c r="K14" s="468"/>
      <c r="L14" s="468"/>
      <c r="M14" s="468"/>
      <c r="N14" s="468"/>
      <c r="O14" s="468"/>
      <c r="P14" s="469"/>
      <c r="Q14" s="460">
        <f t="shared" si="0"/>
        <v>2815.4449659118877</v>
      </c>
    </row>
    <row r="15" spans="1:17" s="473" customFormat="1">
      <c r="A15" s="470" t="s">
        <v>573</v>
      </c>
      <c r="B15" s="471">
        <f ca="1">SUM(B4:B14)</f>
        <v>50556.415641693959</v>
      </c>
      <c r="C15" s="471">
        <f t="shared" ref="C15:Q15" ca="1" si="1">SUM(C4:C14)</f>
        <v>9062.3571428571431</v>
      </c>
      <c r="D15" s="471">
        <f t="shared" ca="1" si="1"/>
        <v>51915.235057846046</v>
      </c>
      <c r="E15" s="471">
        <f t="shared" si="1"/>
        <v>7449.3288321029713</v>
      </c>
      <c r="F15" s="471">
        <f t="shared" ca="1" si="1"/>
        <v>58166.071567032996</v>
      </c>
      <c r="G15" s="471">
        <f t="shared" si="1"/>
        <v>93456.892095761053</v>
      </c>
      <c r="H15" s="471">
        <f t="shared" si="1"/>
        <v>17312.927044049597</v>
      </c>
      <c r="I15" s="471">
        <f t="shared" si="1"/>
        <v>0</v>
      </c>
      <c r="J15" s="471">
        <f t="shared" si="1"/>
        <v>7765.7368836108772</v>
      </c>
      <c r="K15" s="471">
        <f t="shared" si="1"/>
        <v>0</v>
      </c>
      <c r="L15" s="471">
        <f t="shared" ca="1" si="1"/>
        <v>0</v>
      </c>
      <c r="M15" s="471">
        <f t="shared" si="1"/>
        <v>4952.6528453813135</v>
      </c>
      <c r="N15" s="471">
        <f t="shared" ca="1" si="1"/>
        <v>17033.129123339408</v>
      </c>
      <c r="O15" s="471">
        <f t="shared" si="1"/>
        <v>92.236666666666679</v>
      </c>
      <c r="P15" s="471">
        <f t="shared" si="1"/>
        <v>266.93333333333334</v>
      </c>
      <c r="Q15" s="471">
        <f t="shared" ca="1" si="1"/>
        <v>318029.91623367538</v>
      </c>
    </row>
    <row r="17" spans="1:17">
      <c r="A17" s="474" t="s">
        <v>574</v>
      </c>
      <c r="B17" s="778">
        <f ca="1">huishoudens!B10</f>
        <v>0.20487644661577087</v>
      </c>
      <c r="C17" s="778">
        <f ca="1">huishoudens!C10</f>
        <v>0.23601183397385345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5916.457374220472</v>
      </c>
      <c r="C22" s="461">
        <f t="shared" ref="C22:C32" ca="1" si="3">C4*$C$17</f>
        <v>0</v>
      </c>
      <c r="D22" s="461">
        <f t="shared" ref="D22:D32" si="4">D4*$D$17</f>
        <v>7317.1602221685198</v>
      </c>
      <c r="E22" s="461">
        <f t="shared" ref="E22:E32" si="5">E4*$E$17</f>
        <v>1545.2147503571091</v>
      </c>
      <c r="F22" s="461">
        <f t="shared" ref="F22:F32" si="6">F4*$F$17</f>
        <v>9266.1523820861257</v>
      </c>
      <c r="G22" s="461">
        <f t="shared" ref="G22:G32" si="7">G4*$G$17</f>
        <v>0</v>
      </c>
      <c r="H22" s="461">
        <f t="shared" ref="H22:H32" si="8">H4*$H$17</f>
        <v>0</v>
      </c>
      <c r="I22" s="461">
        <f t="shared" ref="I22:I32" si="9">I4*$I$17</f>
        <v>0</v>
      </c>
      <c r="J22" s="461">
        <f t="shared" ref="J22:J32" si="10">J4*$J$17</f>
        <v>2456.5435073529234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26501.52823618515</v>
      </c>
    </row>
    <row r="23" spans="1:17">
      <c r="A23" s="460" t="s">
        <v>156</v>
      </c>
      <c r="B23" s="461">
        <f t="shared" ca="1" si="2"/>
        <v>1934.7831109586209</v>
      </c>
      <c r="C23" s="461">
        <f t="shared" ca="1" si="3"/>
        <v>0</v>
      </c>
      <c r="D23" s="461">
        <f t="shared" ca="1" si="4"/>
        <v>1775.2901071418835</v>
      </c>
      <c r="E23" s="461">
        <f t="shared" si="5"/>
        <v>22.292782021908458</v>
      </c>
      <c r="F23" s="461">
        <f t="shared" ca="1" si="6"/>
        <v>506.56743794751151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4238.9334380699238</v>
      </c>
    </row>
    <row r="24" spans="1:17">
      <c r="A24" s="460" t="s">
        <v>194</v>
      </c>
      <c r="B24" s="461">
        <f t="shared" ca="1" si="2"/>
        <v>217.74780937440667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217.74780937440667</v>
      </c>
    </row>
    <row r="25" spans="1:17">
      <c r="A25" s="460" t="s">
        <v>112</v>
      </c>
      <c r="B25" s="461">
        <f t="shared" ca="1" si="2"/>
        <v>1298.9890688156399</v>
      </c>
      <c r="C25" s="461">
        <f t="shared" ca="1" si="3"/>
        <v>2138.8235294117649</v>
      </c>
      <c r="D25" s="461">
        <f t="shared" si="4"/>
        <v>0</v>
      </c>
      <c r="E25" s="461">
        <f t="shared" si="5"/>
        <v>13.558795562035957</v>
      </c>
      <c r="F25" s="461">
        <f t="shared" si="6"/>
        <v>5524.4108193684906</v>
      </c>
      <c r="G25" s="461">
        <f t="shared" si="7"/>
        <v>0</v>
      </c>
      <c r="H25" s="461">
        <f t="shared" si="8"/>
        <v>0</v>
      </c>
      <c r="I25" s="461">
        <f t="shared" si="9"/>
        <v>0</v>
      </c>
      <c r="J25" s="461">
        <f t="shared" si="10"/>
        <v>277.65372319248672</v>
      </c>
      <c r="K25" s="461">
        <f t="shared" si="11"/>
        <v>0</v>
      </c>
      <c r="L25" s="461">
        <f t="shared" si="12"/>
        <v>0</v>
      </c>
      <c r="M25" s="461">
        <f t="shared" si="13"/>
        <v>0</v>
      </c>
      <c r="N25" s="461">
        <f t="shared" si="14"/>
        <v>0</v>
      </c>
      <c r="O25" s="461">
        <f t="shared" si="15"/>
        <v>0</v>
      </c>
      <c r="P25" s="462">
        <f t="shared" si="16"/>
        <v>0</v>
      </c>
      <c r="Q25" s="460">
        <f t="shared" ca="1" si="17"/>
        <v>9253.4359363504173</v>
      </c>
    </row>
    <row r="26" spans="1:17">
      <c r="A26" s="460" t="s">
        <v>685</v>
      </c>
      <c r="B26" s="461">
        <f t="shared" ca="1" si="2"/>
        <v>799.27407204751466</v>
      </c>
      <c r="C26" s="461">
        <f t="shared" ca="1" si="3"/>
        <v>0</v>
      </c>
      <c r="D26" s="461">
        <f t="shared" si="4"/>
        <v>1011.4737551121351</v>
      </c>
      <c r="E26" s="461">
        <f t="shared" si="5"/>
        <v>7.7687323227607097</v>
      </c>
      <c r="F26" s="461">
        <f t="shared" si="6"/>
        <v>233.21046899568265</v>
      </c>
      <c r="G26" s="461">
        <f t="shared" si="7"/>
        <v>0</v>
      </c>
      <c r="H26" s="461">
        <f t="shared" si="8"/>
        <v>0</v>
      </c>
      <c r="I26" s="461">
        <f t="shared" si="9"/>
        <v>0</v>
      </c>
      <c r="J26" s="461">
        <f t="shared" si="10"/>
        <v>14.873626252840017</v>
      </c>
      <c r="K26" s="461">
        <f t="shared" si="11"/>
        <v>0</v>
      </c>
      <c r="L26" s="461">
        <f t="shared" si="12"/>
        <v>0</v>
      </c>
      <c r="M26" s="461">
        <f t="shared" si="13"/>
        <v>0</v>
      </c>
      <c r="N26" s="461">
        <f t="shared" si="14"/>
        <v>0</v>
      </c>
      <c r="O26" s="461">
        <f t="shared" si="15"/>
        <v>0</v>
      </c>
      <c r="P26" s="462">
        <f t="shared" si="16"/>
        <v>0</v>
      </c>
      <c r="Q26" s="460">
        <f t="shared" ca="1" si="17"/>
        <v>2066.600654730933</v>
      </c>
    </row>
    <row r="27" spans="1:17" s="466" customFormat="1">
      <c r="A27" s="464" t="s">
        <v>579</v>
      </c>
      <c r="B27" s="772">
        <f t="shared" ca="1" si="2"/>
        <v>0.55291130269375377</v>
      </c>
      <c r="C27" s="465">
        <f t="shared" ca="1" si="3"/>
        <v>0</v>
      </c>
      <c r="D27" s="465">
        <f t="shared" si="4"/>
        <v>1.5801722797486559</v>
      </c>
      <c r="E27" s="465">
        <f t="shared" si="5"/>
        <v>102.16258462356051</v>
      </c>
      <c r="F27" s="465">
        <f t="shared" si="6"/>
        <v>0</v>
      </c>
      <c r="G27" s="465">
        <f t="shared" si="7"/>
        <v>24540.009962952023</v>
      </c>
      <c r="H27" s="465">
        <f t="shared" si="8"/>
        <v>4310.9188339683496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28955.224465126375</v>
      </c>
    </row>
    <row r="28" spans="1:17">
      <c r="A28" s="460" t="s">
        <v>569</v>
      </c>
      <c r="B28" s="461">
        <f t="shared" ca="1" si="2"/>
        <v>0</v>
      </c>
      <c r="C28" s="461">
        <f t="shared" ca="1" si="3"/>
        <v>0</v>
      </c>
      <c r="D28" s="461">
        <f t="shared" si="4"/>
        <v>0</v>
      </c>
      <c r="E28" s="461">
        <f t="shared" si="5"/>
        <v>0</v>
      </c>
      <c r="F28" s="461">
        <f t="shared" si="6"/>
        <v>0</v>
      </c>
      <c r="G28" s="461">
        <f t="shared" si="7"/>
        <v>412.98022661618165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412.98022661618165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190.01444358088696</v>
      </c>
      <c r="C32" s="461">
        <f t="shared" ca="1" si="3"/>
        <v>0</v>
      </c>
      <c r="D32" s="461">
        <f t="shared" si="4"/>
        <v>381.37322498261432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571.38766856350128</v>
      </c>
    </row>
    <row r="33" spans="1:17" s="473" customFormat="1">
      <c r="A33" s="470" t="s">
        <v>573</v>
      </c>
      <c r="B33" s="471">
        <f ca="1">SUM(B22:B32)</f>
        <v>10357.818790300233</v>
      </c>
      <c r="C33" s="471">
        <f t="shared" ref="C33:Q33" ca="1" si="18">SUM(C22:C32)</f>
        <v>2138.8235294117649</v>
      </c>
      <c r="D33" s="471">
        <f t="shared" ca="1" si="18"/>
        <v>10486.877481684898</v>
      </c>
      <c r="E33" s="471">
        <f t="shared" si="18"/>
        <v>1690.9976448873747</v>
      </c>
      <c r="F33" s="471">
        <f t="shared" ca="1" si="18"/>
        <v>15530.34110839781</v>
      </c>
      <c r="G33" s="471">
        <f t="shared" si="18"/>
        <v>24952.990189568205</v>
      </c>
      <c r="H33" s="471">
        <f t="shared" si="18"/>
        <v>4310.9188339683496</v>
      </c>
      <c r="I33" s="471">
        <f t="shared" si="18"/>
        <v>0</v>
      </c>
      <c r="J33" s="471">
        <f t="shared" si="18"/>
        <v>2749.0708567982501</v>
      </c>
      <c r="K33" s="471">
        <f t="shared" si="18"/>
        <v>0</v>
      </c>
      <c r="L33" s="471">
        <f t="shared" ca="1" si="18"/>
        <v>0</v>
      </c>
      <c r="M33" s="471">
        <f t="shared" si="18"/>
        <v>0</v>
      </c>
      <c r="N33" s="471">
        <f t="shared" ca="1" si="18"/>
        <v>0</v>
      </c>
      <c r="O33" s="471">
        <f t="shared" si="18"/>
        <v>0</v>
      </c>
      <c r="P33" s="471">
        <f t="shared" si="18"/>
        <v>0</v>
      </c>
      <c r="Q33" s="471">
        <f t="shared" ca="1" si="18"/>
        <v>72217.838435016893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4119.3614801011936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43.65</v>
      </c>
      <c r="C8" s="1037">
        <f>'SEAP template'!C76</f>
        <v>6300</v>
      </c>
      <c r="D8" s="1037">
        <f>'SEAP template'!D76</f>
        <v>7411.7647058823522</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1497.1764705882354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4163.0114801011932</v>
      </c>
      <c r="C10" s="1041">
        <f>SUM(C4:C9)</f>
        <v>6300</v>
      </c>
      <c r="D10" s="1041">
        <f t="shared" ref="D10:H10" si="0">SUM(D8:D9)</f>
        <v>7411.7647058823522</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1497.1764705882354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0.20487644661577087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62.357142857142847</v>
      </c>
      <c r="C17" s="1044">
        <f>'SEAP template'!C87</f>
        <v>9000</v>
      </c>
      <c r="D17" s="1038">
        <f>'SEAP template'!D87</f>
        <v>10588.235294117647</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2138.8235294117649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9000</v>
      </c>
      <c r="D20" s="1041">
        <f t="shared" ref="D20:H20" si="2">SUM(D17:D19)</f>
        <v>10588.235294117647</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2138.8235294117649</v>
      </c>
    </row>
    <row r="22" spans="1:16">
      <c r="A22" s="474" t="s">
        <v>932</v>
      </c>
      <c r="B22" s="778" t="s">
        <v>926</v>
      </c>
      <c r="C22" s="778">
        <f ca="1">'EF ele_warmte'!B22</f>
        <v>0.23601183397385345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0.20487644661577087</v>
      </c>
      <c r="C17" s="510">
        <f ca="1">'EF ele_warmte'!B22</f>
        <v>0.23601183397385345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2019-08-12T07:55:26Z</dcterms:modified>
</cp:coreProperties>
</file>