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<sst xmlns="http://schemas.openxmlformats.org/spreadsheetml/2006/main" count="2495" uniqueCount="954">
  <si>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</si>
  <si>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</si>
  <si>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</si>
  <si>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</si>
  <si>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</si>
  <si>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</si>
  <si>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</si>
  <si>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</si>
  <si>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</si>
  <si>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</si>
  <si>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</si>
  <si>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</si>
  <si>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</si>
  <si>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</si>
  <si>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</si>
  <si>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</si>
  <si>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</si>
  <si>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</si>
  <si>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</si>
  <si>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</si>
  <si>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</si>
  <si>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</si>
  <si>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</si>
  <si>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</si>
  <si>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</si>
  <si>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</si>
  <si>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</si>
  <si>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</si>
  <si>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</si>
  <si>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</si>
  <si>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</si>
  <si>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</si>
  <si>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</si>
  <si>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</si>
  <si>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</si>
  <si>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</si>
  <si>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</si>
  <si>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</si>
  <si>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</si>
  <si>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</si>
  <si>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</si>
  <si>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</si>
  <si>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</si>
  <si>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</si>
  <si>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</si>
  <si>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</si>
  <si>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</si>
  <si>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</si>
  <si>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</si>
  <si>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</si>
  <si>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</si>
  <si>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</si>
  <si>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</si>
  <si>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</si>
  <si>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</si>
  <si>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</si>
  <si>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</si>
  <si>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</si>
  <si>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</si>
  <si>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</si>
  <si>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</si>
  <si>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</si>
  <si>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</si>
  <si>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</si>
  <si>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</si>
  <si>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</si>
  <si>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</si>
  <si>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</si>
  <si>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</si>
  <si>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</si>
  <si>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</si>
  <si>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</si>
  <si>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</si>
  <si>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</si>
  <si>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</si>
  <si>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</si>
  <si>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</si>
  <si>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</si>
  <si>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</si>
  <si>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</si>
  <si>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</si>
  <si>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</si>
  <si>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</si>
  <si>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</si>
  <si>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</si>
  <si>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</si>
  <si>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</si>
  <si>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</si>
  <si>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</si>
  <si>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</si>
  <si>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</si>
  <si>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</si>
  <si>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</si>
  <si>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</si>
  <si>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</si>
  <si>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</si>
  <si>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</si>
  <si>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</si>
  <si>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</si>
  <si>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</si>
  <si>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</si>
  <si>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</si>
  <si>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</si>
  <si>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</si>
  <si>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</si>
  <si>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</si>
  <si>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</si>
  <si>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</si>
  <si>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</si>
  <si>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</si>
  <si>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</si>
  <si>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</si>
  <si>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</si>
  <si>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</si>
  <si>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</si>
  <si>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</si>
  <si>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</si>
  <si>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</si>
  <si>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</si>
  <si>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</si>
  <si>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</si>
  <si>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</si>
  <si>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</si>
  <si>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</si>
  <si>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</si>
  <si>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</si>
  <si>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</si>
  <si>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</si>
  <si>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</si>
  <si>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</si>
  <si>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</si>
  <si>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</si>
  <si>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</si>
  <si>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</si>
  <si>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</si>
  <si>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</si>
  <si>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</si>
  <si>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</si>
  <si>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</si>
  <si>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</si>
  <si>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</si>
  <si>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</si>
  <si>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</si>
  <si>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</si>
  <si>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</si>
  <si>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</si>
  <si>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</si>
  <si>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</si>
  <si>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</si>
  <si>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</si>
  <si>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</si>
  <si>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</si>
  <si>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</si>
  <si>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</si>
  <si>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</si>
  <si>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</si>
  <si>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</si>
  <si>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</si>
  <si>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</si>
  <si>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</si>
  <si>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</si>
  <si>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</si>
  <si>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</si>
  <si>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</si>
  <si>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</si>
  <si>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</si>
  <si>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</si>
  <si>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</si>
  <si>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</si>
  <si>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</si>
  <si>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</si>
  <si>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</si>
  <si>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</si>
  <si>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</si>
  <si>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</si>
  <si>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</si>
  <si>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</si>
  <si>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</si>
  <si>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</si>
  <si>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</si>
  <si>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</si>
  <si>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</si>
  <si>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</si>
  <si>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</si>
  <si>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</si>
  <si>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</si>
  <si>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</si>
  <si>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</si>
  <si>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</si>
  <si>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</si>
  <si>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</si>
  <si>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</si>
  <si>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</si>
  <si>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</si>
  <si>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</si>
  <si>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</si>
  <si>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</si>
  <si>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</si>
  <si>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</si>
  <si>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</si>
  <si>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</si>
  <si>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</si>
  <si>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</si>
  <si>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</si>
  <si>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</si>
  <si>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</si>
  <si>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</si>
  <si>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</si>
  <si>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</si>
  <si>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</si>
  <si>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</si>
  <si>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</si>
  <si>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</si>
  <si>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</si>
  <si>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</si>
  <si>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</si>
  <si>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</si>
  <si>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</si>
  <si>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</si>
  <si>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</si>
  <si>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</si>
  <si>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</si>
  <si>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</si>
  <si>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</si>
  <si>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</si>
  <si>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</si>
  <si>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</si>
  <si>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</si>
  <si>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</si>
  <si>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</si>
  <si>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</si>
  <si>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</si>
  <si>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</si>
  <si>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</si>
  <si>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</si>
  <si>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</si>
  <si>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</si>
  <si>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</si>
  <si>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</si>
  <si>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</si>
  <si>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</si>
  <si>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</si>
  <si>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</si>
  <si>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</si>
  <si>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</si>
  <si>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</si>
  <si>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</si>
  <si>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</si>
  <si>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</si>
  <si>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</si>
  <si>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</si>
  <si>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</si>
  <si>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</si>
  <si>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</si>
  <si>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</si>
  <si>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</si>
  <si>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</si>
  <si>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</si>
  <si>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</si>
  <si>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</si>
  <si>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</si>
  <si>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</si>
  <si>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</si>
  <si>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</si>
  <si>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</si>
  <si>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</si>
  <si>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</si>
  <si>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</si>
  <si>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</si>
  <si>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</si>
  <si>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</si>
  <si>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</si>
  <si>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</si>
  <si>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</si>
  <si>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</si>
  <si>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</si>
  <si>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</si>
  <si>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</si>
  <si>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</si>
  <si>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</si>
  <si>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</si>
  <si>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</si>
  <si>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</si>
  <si>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</si>
  <si>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</si>
  <si>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</si>
  <si>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</si>
  <si>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</si>
  <si>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</si>
  <si>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</si>
  <si>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</si>
  <si>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</si>
  <si>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</si>
  <si>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</si>
  <si>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</si>
  <si>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</si>
  <si>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</si>
  <si>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</si>
  <si>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</si>
  <si>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</si>
  <si>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</si>
  <si>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</si>
  <si>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</si>
  <si>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</si>
  <si>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</si>
  <si>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</si>
  <si>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</si>
  <si>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</si>
  <si>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</si>
  <si>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</si>
  <si>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</si>
  <si>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</si>
  <si>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</si>
  <si>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</si>
  <si>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</si>
  <si>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</si>
  <si>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</si>
  <si>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</si>
  <si>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</si>
  <si>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</si>
  <si>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</si>
  <si>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</si>
  <si>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</si>
  <si>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</si>
  <si>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</si>
  <si>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</si>
  <si>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</si>
  <si>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</si>
  <si>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</si>
  <si>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</si>
  <si>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</si>
  <si>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</si>
  <si>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</si>
  <si>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</si>
  <si>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</si>
  <si>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</si>
  <si>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</si>
  <si>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</si>
  <si>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</si>
  <si>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</si>
  <si>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</si>
  <si>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</si>
  <si>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</si>
  <si>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</si>
  <si>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</si>
  <si>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</si>
  <si>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</si>
  <si>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</si>
  <si>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</si>
  <si>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</si>
  <si>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</si>
  <si>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</si>
  <si>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</si>
  <si>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</si>
  <si>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</si>
  <si>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</si>
  <si>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</si>
  <si>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</si>
  <si>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</si>
  <si>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</si>
  <si>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</si>
  <si>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</si>
  <si>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</si>
  <si>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</si>
  <si>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</si>
  <si>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</si>
  <si>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</si>
  <si>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</si>
  <si>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</si>
  <si>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</si>
  <si>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</si>
  <si>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</si>
  <si>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</si>
  <si>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</si>
  <si>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</si>
  <si>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</si>
  <si>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</si>
  <si>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</si>
  <si>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</si>
  <si>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</si>
  <si>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</si>
  <si>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</si>
  <si>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</si>
  <si>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</si>
  <si>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</si>
  <si>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</si>
  <si>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</si>
  <si>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</si>
  <si>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</si>
  <si>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</si>
  <si>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</si>
  <si>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</si>
  <si>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</si>
  <si>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</si>
  <si>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</si>
  <si>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</si>
  <si>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</si>
  <si>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</si>
  <si>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</si>
  <si>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</si>
  <si>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</si>
  <si>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</si>
  <si>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</si>
  <si>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</si>
  <si>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</si>
  <si>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</si>
  <si>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</si>
  <si>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</si>
  <si>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</si>
  <si>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</si>
  <si>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</si>
  <si>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</si>
  <si>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</si>
  <si>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</si>
  <si>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</si>
  <si>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</si>
  <si>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</si>
  <si>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</si>
  <si>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</si>
  <si>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</si>
  <si>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</si>
  <si>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</si>
  <si>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</si>
  <si>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</si>
  <si>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</si>
  <si>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</si>
  <si>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</si>
  <si>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</si>
  <si>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</si>
  <si>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</si>
  <si>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</si>
  <si>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</si>
  <si>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</si>
  <si>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</si>
  <si>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</si>
  <si>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</si>
  <si>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</si>
  <si>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</si>
  <si>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</si>
  <si>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</si>
  <si>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</si>
  <si>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</si>
  <si>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</si>
  <si>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</si>
  <si>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</si>
  <si>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</si>
  <si>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</si>
  <si>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</si>
  <si>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</si>
  <si>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</si>
  <si>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</si>
  <si>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</si>
  <si>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</si>
  <si>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</si>
  <si>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</si>
  <si>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</si>
  <si>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</si>
  <si>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</si>
  <si>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</si>
  <si>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</si>
  <si>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</si>
  <si>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</si>
  <si>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</si>
  <si>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</si>
  <si>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</si>
  <si>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</si>
  <si>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</si>
  <si>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</si>
  <si>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</si>
  <si>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</si>
  <si>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</si>
  <si>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</si>
  <si>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</si>
  <si>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</si>
  <si>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</si>
  <si>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</si>
  <si>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</si>
  <si>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</si>
  <si>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</si>
  <si>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</si>
  <si>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</si>
  <si>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</si>
  <si>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</si>
  <si>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</si>
  <si>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</si>
  <si>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</si>
  <si>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</si>
  <si>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</si>
  <si>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</si>
  <si>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</si>
  <si>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</si>
  <si>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</si>
  <si>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</si>
  <si>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</si>
  <si>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</si>
  <si>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</si>
  <si>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</si>
  <si>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</si>
  <si>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</si>
  <si>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</si>
  <si>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</si>
  <si>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</si>
  <si>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</si>
  <si>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</si>
  <si>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</si>
  <si>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</si>
  <si>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</si>
  <si>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</si>
  <si>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</si>
  <si>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</si>
  <si>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</si>
  <si>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</si>
  <si>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</si>
  <si>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</si>
  <si>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</si>
  <si>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</si>
  <si>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</si>
  <si>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</si>
  <si>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</si>
  <si>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</si>
  <si>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</si>
  <si>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</si>
  <si>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</si>
  <si>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</si>
  <si>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</si>
  <si>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</si>
  <si>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</si>
  <si>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</si>
  <si>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</si>
  <si>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</si>
  <si>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</si>
  <si>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</si>
  <si>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</si>
  <si>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</si>
  <si>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</si>
  <si>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</si>
  <si>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</si>
  <si>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</si>
  <si>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</si>
  <si>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</si>
  <si>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</si>
  <si>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</si>
  <si>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</si>
  <si>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</si>
  <si>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</si>
  <si>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</si>
  <si>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</si>
  <si>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</si>
  <si>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</si>
  <si>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</si>
  <si>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</si>
  <si>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</si>
  <si>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</si>
  <si>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</si>
  <si>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</si>
  <si>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</si>
  <si>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</si>
  <si>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</si>
  <si>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</si>
  <si>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</si>
  <si>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</si>
  <si>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</si>
  <si>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</si>
  <si>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</si>
  <si>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</si>
  <si>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</si>
  <si>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</si>
  <si>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</si>
  <si>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</si>
  <si>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</si>
  <si>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</si>
  <si>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</si>
  <si>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</si>
  <si>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</si>
  <si>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</si>
  <si>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</si>
  <si>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</si>
  <si>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</si>
  <si>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</si>
  <si>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</si>
  <si>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</si>
  <si>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</si>
  <si>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</si>
  <si>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</si>
  <si>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</si>
  <si>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</si>
  <si>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</si>
  <si>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</si>
  <si>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</si>
  <si>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</si>
  <si>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</si>
  <si>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</si>
  <si>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</si>
  <si>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</si>
  <si>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</si>
  <si>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</si>
  <si>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</si>
  <si>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</si>
  <si>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</si>
  <si>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</si>
  <si>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</si>
  <si>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</si>
  <si>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</si>
  <si>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</si>
  <si>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</si>
  <si>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</si>
  <si>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</si>
  <si>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</si>
  <si>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</si>
  <si>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</si>
  <si>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</si>
  <si>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</si>
  <si>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</si>
  <si>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</si>
  <si>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</si>
  <si>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</si>
  <si>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</si>
  <si>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</si>
  <si>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</si>
  <si>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</si>
  <si>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</si>
  <si>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</si>
  <si>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</si>
  <si>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</si>
  <si>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</si>
  <si>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</si>
  <si>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</si>
  <si>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</si>
  <si>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</si>
  <si>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</si>
  <si>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</si>
  <si>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</si>
  <si>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</si>
  <si>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</si>
  <si>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</si>
  <si>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</si>
  <si>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</si>
  <si>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</si>
  <si>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</si>
  <si>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</si>
  <si>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</si>
  <si>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</si>
  <si>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</si>
  <si>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</si>
  <si>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</si>
  <si>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</si>
  <si>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</si>
  <si>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</si>
  <si>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</si>
  <si>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</si>
  <si>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</si>
  <si>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</si>
  <si>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</si>
  <si>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</si>
  <si>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</si>
  <si>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</si>
  <si>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</si>
  <si>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</si>
  <si>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</si>
  <si>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</si>
  <si>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</si>
  <si>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</si>
  <si>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</si>
  <si>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</si>
  <si>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</si>
  <si>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</si>
  <si>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</si>
  <si>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</si>
  <si>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</si>
  <si>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</si>
  <si>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</si>
  <si>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</si>
  <si>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</si>
  <si>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</si>
  <si>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</si>
  <si>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</si>
  <si>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</si>
  <si>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</si>
  <si>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</si>
  <si>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</si>
  <si>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</si>
  <si>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</si>
  <si>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</si>
  <si>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</si>
  <si>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</si>
  <si>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</si>
  <si>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</si>
  <si>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</si>
  <si>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</si>
  <si>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</si>
  <si>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</si>
  <si>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</si>
  <si>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</si>
  <si>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</si>
  <si>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</si>
  <si>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</si>
  <si>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</si>
  <si>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</si>
  <si>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</si>
  <si>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</si>
  <si>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</si>
  <si>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</si>
  <si>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</si>
  <si>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</si>
  <si>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</si>
  <si>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</si>
  <si>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</si>
  <si>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</si>
  <si>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</si>
  <si>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</si>
  <si>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</si>
  <si>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</si>
  <si>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</si>
  <si>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</si>
  <si>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</si>
  <si>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</si>
  <si>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</si>
  <si>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</si>
  <si>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</si>
  <si>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</si>
  <si>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</si>
  <si>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</si>
  <si>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</si>
  <si>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</si>
  <si>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</si>
  <si>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</si>
  <si>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</si>
  <si>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</si>
  <si>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</si>
  <si>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</si>
  <si>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</si>
  <si>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</si>
  <si>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</si>
  <si>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</si>
  <si>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</si>
  <si>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</si>
  <si>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</si>
  <si>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</si>
  <si>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</si>
  <si>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</si>
  <si>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</si>
  <si>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</si>
  <si>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</si>
  <si>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</si>
  <si>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</si>
  <si>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</si>
  <si>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</si>
  <si>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</si>
  <si>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</si>
  <si>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</si>
  <si>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</si>
  <si>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</si>
  <si>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</si>
  <si>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</si>
  <si>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</si>
  <si>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</si>
  <si>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</si>
  <si>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</si>
  <si>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</si>
  <si>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</si>
  <si>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</si>
  <si>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</si>
  <si>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</si>
  <si>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</si>
  <si>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</si>
  <si>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</si>
  <si>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</si>
  <si>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</si>
  <si>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</si>
  <si>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</si>
  <si>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</si>
  <si>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</si>
  <si>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</si>
  <si>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</si>
  <si>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</si>
  <si>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</si>
  <si>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</si>
  <si>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</si>
  <si>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</si>
  <si>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</si>
  <si>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</si>
  <si>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</si>
  <si>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</si>
  <si>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</si>
  <si>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</si>
  <si>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</si>
  <si>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</si>
  <si>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</si>
  <si>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</si>
  <si>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</si>
  <si>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</si>
  <si>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</si>
  <si>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</si>
  <si>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</si>
  <si>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</si>
  <si>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</si>
  <si>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</si>
  <si>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</si>
  <si>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</si>
  <si>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</si>
  <si>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</si>
  <si>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</si>
  <si>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</si>
  <si>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</si>
  <si>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</si>
  <si>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</si>
  <si>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</si>
  <si>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</si>
  <si>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</si>
  <si>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</si>
  <si>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</si>
  <si>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</si>
  <si>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</si>
  <si>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</si>
  <si>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</si>
  <si>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</si>
  <si>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</si>
  <si>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</si>
  <si>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</si>
  <si>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</si>
  <si>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</si>
  <si>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</si>
  <si>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</si>
  <si>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</si>
  <si>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</si>
  <si>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</si>
  <si>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</si>
  <si>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</si>
  <si>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</si>
  <si>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</si>
  <si>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</si>
  <si>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</si>
  <si>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</si>
  <si>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</si>
  <si>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</si>
  <si>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</si>
  <si>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</si>
  <si>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</si>
  <si>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</si>
  <si>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</si>
  <si>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</si>
  <si>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</si>
  <si>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</si>
  <si>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</si>
  <si>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</si>
  <si>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</si>
  <si>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</si>
  <si>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</si>
  <si>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</si>
  <si>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</si>
  <si>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</si>
  <si>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</si>
  <si>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</si>
  <si>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</si>
  <si>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</si>
  <si>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</si>
  <si>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</si>
  <si>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</si>
  <si>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</si>
  <si>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</si>
  <si>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</si>
  <si>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</si>
  <si>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</si>
  <si>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</si>
  <si>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</si>
  <si>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</si>
  <si>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</si>
  <si>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</si>
  <si>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</si>
  <si>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</si>
  <si>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</si>
  <si>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</si>
  <si>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</si>
  <si>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</si>
  <si>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</si>
  <si>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</si>
  <si>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</si>
  <si>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</si>
  <si>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</si>
  <si>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</si>
  <si>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</si>
  <si>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</si>
  <si>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</si>
  <si>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</si>
  <si>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</si>
  <si>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</si>
  <si>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</si>
  <si>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</si>
  <si>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</si>
  <si>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</si>
  <si>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</si>
  <si>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</si>
  <si>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</si>
  <si>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</si>
  <si>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</si>
  <si>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</si>
  <si>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</si>
  <si>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</si>
  <si>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</si>
  <si>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</si>
  <si>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</si>
  <si>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</si>
  <si>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</si>
  <si>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</si>
  <si>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</si>
  <si>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</si>
  <si>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</si>
  <si>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</si>
  <si>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</si>
  <si>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</si>
  <si>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</si>
  <si>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</si>
  <si>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</si>
  <si>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</si>
  <si>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</si>
  <si>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</si>
  <si>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</si>
  <si>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</si>
  <si>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</si>
  <si>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</si>
  <si>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</si>
  <si>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</si>
  <si>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</si>
  <si>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</si>
  <si>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</si>
  <si>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</si>
  <si>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</si>
  <si>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</si>
  <si>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</si>
  <si>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</si>
  <si>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</si>
  <si>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</si>
  <si>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</si>
  <si>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</si>
  <si>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</si>
  <si>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</si>
  <si>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</si>
  <si>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</si>
  <si>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</si>
  <si>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</si>
  <si>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</si>
  <si>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</si>
  <si>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41027</t>
  </si>
  <si>
    <t>HERZELE</t>
  </si>
  <si>
    <t>Paarden&amp;pony's 200 - 600 kg</t>
  </si>
  <si>
    <t>Paarden&amp;pony's &lt; 200 kg</t>
  </si>
  <si>
    <t>op basis van VEA (maart 2018) en Inventaris Hernieuwbare Energiebronnen (juni 2018)</t>
  </si>
  <si>
    <t>VEA (juni 2018)</t>
  </si>
  <si>
    <t>Mathieu Hendrickx</t>
  </si>
  <si>
    <t>Bekenholstraat 1 , 9550 Steenhuize-Wijnhuize</t>
  </si>
  <si>
    <t>WKK-0540 Mathieu Hendrickx</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</si>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</sst>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41027</v>
      </c>
      <c r="B6" s="397"/>
      <c r="C6" s="398"/>
    </row>
    <row r="7" spans="1:7" s="395" customFormat="1" ht="15.75" customHeight="1">
      <c r="A7" s="399" t="str">
        <f>txtMunicipality</f>
        <v>HERZELE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0.20796266396984187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0.20796266396984187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41027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7077</v>
      </c>
      <c r="C9" s="338">
        <v>7695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2819</v>
      </c>
    </row>
    <row r="15" spans="1:6">
      <c r="A15" s="1286" t="s">
        <v>184</v>
      </c>
      <c r="B15" s="335">
        <v>181</v>
      </c>
    </row>
    <row r="16" spans="1:6">
      <c r="A16" s="1286" t="s">
        <v>6</v>
      </c>
      <c r="B16" s="335">
        <v>1070</v>
      </c>
    </row>
    <row r="17" spans="1:6">
      <c r="A17" s="1286" t="s">
        <v>7</v>
      </c>
      <c r="B17" s="335">
        <v>712</v>
      </c>
    </row>
    <row r="18" spans="1:6">
      <c r="A18" s="1286" t="s">
        <v>8</v>
      </c>
      <c r="B18" s="335">
        <v>1182</v>
      </c>
    </row>
    <row r="19" spans="1:6">
      <c r="A19" s="1286" t="s">
        <v>9</v>
      </c>
      <c r="B19" s="335">
        <v>1188</v>
      </c>
    </row>
    <row r="20" spans="1:6">
      <c r="A20" s="1286" t="s">
        <v>10</v>
      </c>
      <c r="B20" s="335">
        <v>898</v>
      </c>
    </row>
    <row r="21" spans="1:6">
      <c r="A21" s="1286" t="s">
        <v>11</v>
      </c>
      <c r="B21" s="335">
        <v>10</v>
      </c>
    </row>
    <row r="22" spans="1:6">
      <c r="A22" s="1286" t="s">
        <v>12</v>
      </c>
      <c r="B22" s="335">
        <v>702</v>
      </c>
    </row>
    <row r="23" spans="1:6">
      <c r="A23" s="1286" t="s">
        <v>13</v>
      </c>
      <c r="B23" s="335">
        <v>0</v>
      </c>
    </row>
    <row r="24" spans="1:6">
      <c r="A24" s="1286" t="s">
        <v>14</v>
      </c>
      <c r="B24" s="335">
        <v>0</v>
      </c>
    </row>
    <row r="25" spans="1:6">
      <c r="A25" s="1286" t="s">
        <v>15</v>
      </c>
      <c r="B25" s="335">
        <v>10</v>
      </c>
    </row>
    <row r="26" spans="1:6">
      <c r="A26" s="1286" t="s">
        <v>16</v>
      </c>
      <c r="B26" s="335">
        <v>130</v>
      </c>
    </row>
    <row r="27" spans="1:6">
      <c r="A27" s="1286" t="s">
        <v>17</v>
      </c>
      <c r="B27" s="335">
        <v>10</v>
      </c>
    </row>
    <row r="28" spans="1:6" s="341" customFormat="1">
      <c r="A28" s="1287" t="s">
        <v>18</v>
      </c>
      <c r="B28" s="1287">
        <v>8258</v>
      </c>
    </row>
    <row r="29" spans="1:6">
      <c r="A29" s="1287" t="s">
        <v>944</v>
      </c>
      <c r="B29" s="1287">
        <v>124</v>
      </c>
      <c r="C29" s="341"/>
      <c r="D29" s="341"/>
      <c r="E29" s="341"/>
      <c r="F29" s="341"/>
    </row>
    <row r="30" spans="1:6">
      <c r="A30" s="1282" t="s">
        <v>945</v>
      </c>
      <c r="B30" s="1282">
        <v>35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39850.458789571501</v>
      </c>
      <c r="E38" s="335">
        <v>3</v>
      </c>
      <c r="F38" s="335">
        <v>10712.999682039001</v>
      </c>
    </row>
    <row r="39" spans="1:6">
      <c r="A39" s="1286" t="s">
        <v>30</v>
      </c>
      <c r="B39" s="1286" t="s">
        <v>31</v>
      </c>
      <c r="C39" s="335">
        <v>2843</v>
      </c>
      <c r="D39" s="335">
        <v>48177733.3742432</v>
      </c>
      <c r="E39" s="335">
        <v>7030</v>
      </c>
      <c r="F39" s="335">
        <v>32176484.412247099</v>
      </c>
    </row>
    <row r="40" spans="1:6">
      <c r="A40" s="1286" t="s">
        <v>30</v>
      </c>
      <c r="B40" s="1286" t="s">
        <v>29</v>
      </c>
      <c r="C40" s="335">
        <v>0</v>
      </c>
      <c r="D40" s="335">
        <v>0</v>
      </c>
      <c r="E40" s="335">
        <v>0</v>
      </c>
      <c r="F40" s="335">
        <v>0</v>
      </c>
    </row>
    <row r="41" spans="1:6">
      <c r="A41" s="1286" t="s">
        <v>32</v>
      </c>
      <c r="B41" s="1286" t="s">
        <v>33</v>
      </c>
      <c r="C41" s="335">
        <v>18</v>
      </c>
      <c r="D41" s="335">
        <v>356733.88594107301</v>
      </c>
      <c r="E41" s="335">
        <v>125</v>
      </c>
      <c r="F41" s="335">
        <v>868744.90622919798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71158.382240569001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43447.297267544498</v>
      </c>
    </row>
    <row r="48" spans="1:6">
      <c r="A48" s="1286" t="s">
        <v>32</v>
      </c>
      <c r="B48" s="1286" t="s">
        <v>29</v>
      </c>
      <c r="C48" s="335">
        <v>19</v>
      </c>
      <c r="D48" s="335">
        <v>606711.56464935699</v>
      </c>
      <c r="E48" s="335">
        <v>41</v>
      </c>
      <c r="F48" s="335">
        <v>1438960.94580943</v>
      </c>
    </row>
    <row r="49" spans="1:6">
      <c r="A49" s="1286" t="s">
        <v>32</v>
      </c>
      <c r="B49" s="1286" t="s">
        <v>40</v>
      </c>
      <c r="C49" s="335">
        <v>0</v>
      </c>
      <c r="D49" s="335">
        <v>0</v>
      </c>
      <c r="E49" s="335">
        <v>0</v>
      </c>
      <c r="F49" s="335">
        <v>0</v>
      </c>
    </row>
    <row r="50" spans="1:6">
      <c r="A50" s="1286" t="s">
        <v>32</v>
      </c>
      <c r="B50" s="1286" t="s">
        <v>41</v>
      </c>
      <c r="C50" s="335">
        <v>5</v>
      </c>
      <c r="D50" s="335">
        <v>548229.63176086999</v>
      </c>
      <c r="E50" s="335">
        <v>14</v>
      </c>
      <c r="F50" s="335">
        <v>438358.52321505599</v>
      </c>
    </row>
    <row r="51" spans="1:6">
      <c r="A51" s="1286" t="s">
        <v>42</v>
      </c>
      <c r="B51" s="1286" t="s">
        <v>43</v>
      </c>
      <c r="C51" s="335">
        <v>3</v>
      </c>
      <c r="D51" s="335">
        <v>65806.227622896899</v>
      </c>
      <c r="E51" s="335">
        <v>77</v>
      </c>
      <c r="F51" s="335">
        <v>1012498.64321418</v>
      </c>
    </row>
    <row r="52" spans="1:6">
      <c r="A52" s="1286" t="s">
        <v>42</v>
      </c>
      <c r="B52" s="1286" t="s">
        <v>29</v>
      </c>
      <c r="C52" s="335">
        <v>3</v>
      </c>
      <c r="D52" s="335">
        <v>99892.795475127496</v>
      </c>
      <c r="E52" s="335">
        <v>9</v>
      </c>
      <c r="F52" s="335">
        <v>117832.244780347</v>
      </c>
    </row>
    <row r="53" spans="1:6">
      <c r="A53" s="1286" t="s">
        <v>44</v>
      </c>
      <c r="B53" s="1286" t="s">
        <v>45</v>
      </c>
      <c r="C53" s="335">
        <v>41</v>
      </c>
      <c r="D53" s="335">
        <v>1069108.5464520999</v>
      </c>
      <c r="E53" s="335">
        <v>130</v>
      </c>
      <c r="F53" s="335">
        <v>686032.14330991299</v>
      </c>
    </row>
    <row r="54" spans="1:6">
      <c r="A54" s="1286" t="s">
        <v>46</v>
      </c>
      <c r="B54" s="1286" t="s">
        <v>47</v>
      </c>
      <c r="C54" s="335">
        <v>0</v>
      </c>
      <c r="D54" s="335">
        <v>0</v>
      </c>
      <c r="E54" s="335">
        <v>1</v>
      </c>
      <c r="F54" s="335">
        <v>1431255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200768.68314824</v>
      </c>
      <c r="E57" s="335">
        <v>99</v>
      </c>
      <c r="F57" s="335">
        <v>1119568.0557840799</v>
      </c>
    </row>
    <row r="58" spans="1:6">
      <c r="A58" s="1286" t="s">
        <v>49</v>
      </c>
      <c r="B58" s="1286" t="s">
        <v>51</v>
      </c>
      <c r="C58" s="335">
        <v>0</v>
      </c>
      <c r="D58" s="335">
        <v>0</v>
      </c>
      <c r="E58" s="335">
        <v>16</v>
      </c>
      <c r="F58" s="335">
        <v>355185.34244937502</v>
      </c>
    </row>
    <row r="59" spans="1:6">
      <c r="A59" s="1286" t="s">
        <v>49</v>
      </c>
      <c r="B59" s="1286" t="s">
        <v>52</v>
      </c>
      <c r="C59" s="335">
        <v>28</v>
      </c>
      <c r="D59" s="335">
        <v>1004172.53397545</v>
      </c>
      <c r="E59" s="335">
        <v>132</v>
      </c>
      <c r="F59" s="335">
        <v>4082401.8897967399</v>
      </c>
    </row>
    <row r="60" spans="1:6">
      <c r="A60" s="1286" t="s">
        <v>49</v>
      </c>
      <c r="B60" s="1286" t="s">
        <v>53</v>
      </c>
      <c r="C60" s="335">
        <v>19</v>
      </c>
      <c r="D60" s="335">
        <v>642562.43533393799</v>
      </c>
      <c r="E60" s="335">
        <v>51</v>
      </c>
      <c r="F60" s="335">
        <v>844667.74927380297</v>
      </c>
    </row>
    <row r="61" spans="1:6">
      <c r="A61" s="1286" t="s">
        <v>49</v>
      </c>
      <c r="B61" s="1286" t="s">
        <v>54</v>
      </c>
      <c r="C61" s="335">
        <v>48</v>
      </c>
      <c r="D61" s="335">
        <v>4585185.9482903099</v>
      </c>
      <c r="E61" s="335">
        <v>142</v>
      </c>
      <c r="F61" s="335">
        <v>1576671.33002874</v>
      </c>
    </row>
    <row r="62" spans="1:6">
      <c r="A62" s="1286" t="s">
        <v>49</v>
      </c>
      <c r="B62" s="1286" t="s">
        <v>55</v>
      </c>
      <c r="C62" s="335">
        <v>0</v>
      </c>
      <c r="D62" s="335">
        <v>0</v>
      </c>
      <c r="E62" s="335">
        <v>11</v>
      </c>
      <c r="F62" s="335">
        <v>259808.721272083</v>
      </c>
    </row>
    <row r="63" spans="1:6">
      <c r="A63" s="1286" t="s">
        <v>49</v>
      </c>
      <c r="B63" s="1286" t="s">
        <v>29</v>
      </c>
      <c r="C63" s="335">
        <v>90</v>
      </c>
      <c r="D63" s="335">
        <v>3075532.0851326501</v>
      </c>
      <c r="E63" s="335">
        <v>149</v>
      </c>
      <c r="F63" s="335">
        <v>2163540.8523065601</v>
      </c>
    </row>
    <row r="64" spans="1:6">
      <c r="A64" s="1286" t="s">
        <v>56</v>
      </c>
      <c r="B64" s="1286" t="s">
        <v>57</v>
      </c>
      <c r="C64" s="335">
        <v>0</v>
      </c>
      <c r="D64" s="335">
        <v>0</v>
      </c>
      <c r="E64" s="335">
        <v>0</v>
      </c>
      <c r="F64" s="335">
        <v>0</v>
      </c>
    </row>
    <row r="65" spans="1:6">
      <c r="A65" s="1286" t="s">
        <v>56</v>
      </c>
      <c r="B65" s="1286" t="s">
        <v>29</v>
      </c>
      <c r="C65" s="335">
        <v>1</v>
      </c>
      <c r="D65" s="335">
        <v>10365.242369251</v>
      </c>
      <c r="E65" s="335">
        <v>3</v>
      </c>
      <c r="F65" s="335">
        <v>87351.844905919803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108918.08030013699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56248540</v>
      </c>
      <c r="E73" s="335">
        <v>62889025.724979915</v>
      </c>
    </row>
    <row r="74" spans="1:6">
      <c r="A74" s="1286" t="s">
        <v>64</v>
      </c>
      <c r="B74" s="1286" t="s">
        <v>772</v>
      </c>
      <c r="C74" s="1297" t="s">
        <v>766</v>
      </c>
      <c r="D74" s="335">
        <v>5898490.4720598012</v>
      </c>
      <c r="E74" s="335">
        <v>6625297.7013071608</v>
      </c>
    </row>
    <row r="75" spans="1:6">
      <c r="A75" s="1286" t="s">
        <v>65</v>
      </c>
      <c r="B75" s="1286" t="s">
        <v>771</v>
      </c>
      <c r="C75" s="1297" t="s">
        <v>767</v>
      </c>
      <c r="D75" s="335">
        <v>28392008</v>
      </c>
      <c r="E75" s="335">
        <v>30735783.947697274</v>
      </c>
    </row>
    <row r="76" spans="1:6">
      <c r="A76" s="1286" t="s">
        <v>65</v>
      </c>
      <c r="B76" s="1286" t="s">
        <v>772</v>
      </c>
      <c r="C76" s="1297" t="s">
        <v>768</v>
      </c>
      <c r="D76" s="335">
        <v>1069984.4720598017</v>
      </c>
      <c r="E76" s="335">
        <v>1189075.6243224654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253797.05588039663</v>
      </c>
      <c r="C83" s="335">
        <v>243765.52632806424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2707.6915749492973</v>
      </c>
    </row>
    <row r="92" spans="1:6">
      <c r="A92" s="1282" t="s">
        <v>69</v>
      </c>
      <c r="B92" s="338">
        <v>315.5606921183429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1016</v>
      </c>
    </row>
    <row r="98" spans="1:6">
      <c r="A98" s="1286" t="s">
        <v>72</v>
      </c>
      <c r="B98" s="335">
        <v>1</v>
      </c>
    </row>
    <row r="99" spans="1:6">
      <c r="A99" s="1286" t="s">
        <v>73</v>
      </c>
      <c r="B99" s="335">
        <v>101</v>
      </c>
    </row>
    <row r="100" spans="1:6">
      <c r="A100" s="1286" t="s">
        <v>74</v>
      </c>
      <c r="B100" s="335">
        <v>581</v>
      </c>
    </row>
    <row r="101" spans="1:6">
      <c r="A101" s="1286" t="s">
        <v>75</v>
      </c>
      <c r="B101" s="335">
        <v>141</v>
      </c>
    </row>
    <row r="102" spans="1:6">
      <c r="A102" s="1286" t="s">
        <v>76</v>
      </c>
      <c r="B102" s="335">
        <v>117</v>
      </c>
    </row>
    <row r="103" spans="1:6">
      <c r="A103" s="1286" t="s">
        <v>77</v>
      </c>
      <c r="B103" s="335">
        <v>374</v>
      </c>
    </row>
    <row r="104" spans="1:6">
      <c r="A104" s="1286" t="s">
        <v>78</v>
      </c>
      <c r="B104" s="335">
        <v>4020</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51396.08885373042</v>
      </c>
      <c r="C3" s="44" t="s">
        <v>170</v>
      </c>
      <c r="D3" s="44"/>
      <c r="E3" s="157"/>
      <c r="F3" s="44"/>
      <c r="G3" s="44"/>
      <c r="H3" s="44"/>
      <c r="I3" s="44"/>
      <c r="J3" s="44"/>
      <c r="K3" s="97"/>
    </row>
    <row r="4" spans="1:11">
      <c r="A4" s="365" t="s">
        <v>171</v>
      </c>
      <c r="B4" s="50">
        <f>IF(ISERROR('SEAP template'!B78+'SEAP template'!C78),0,'SEAP template'!B78+'SEAP template'!C78)</f>
        <v>3031.9822670676404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0.20796266396984187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12.47142857142857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1431.2550000000001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1431.2550000000001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0.20796266396984187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297.64760262015602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32176.4844122471</v>
      </c>
      <c r="C5" s="18">
        <f>IF(ISERROR('Eigen informatie GS &amp; warmtenet'!B57),0,'Eigen informatie GS &amp; warmtenet'!B57)</f>
        <v>0</v>
      </c>
      <c r="D5" s="31">
        <f>(SUM(HH_hh_gas_kWh,HH_rest_gas_kWh)/1000)*0.902</f>
        <v>43456.31550356737</v>
      </c>
      <c r="E5" s="18">
        <f>B46*B57</f>
        <v>4467.5849567081596</v>
      </c>
      <c r="F5" s="18">
        <f>B51*B62</f>
        <v>46896.043106890815</v>
      </c>
      <c r="G5" s="19"/>
      <c r="H5" s="18"/>
      <c r="I5" s="18"/>
      <c r="J5" s="18">
        <f>B50*B61+C50*C61</f>
        <v>6036.8577005548786</v>
      </c>
      <c r="K5" s="18"/>
      <c r="L5" s="18"/>
      <c r="M5" s="18"/>
      <c r="N5" s="18">
        <f>B48*B59+C48*C59</f>
        <v>20254.68032877722</v>
      </c>
      <c r="O5" s="18">
        <f>B69*B70*B71</f>
        <v>120.37666666666668</v>
      </c>
      <c r="P5" s="18">
        <f>B77*B78*B79/1000-B77*B78*B79/1000/B80</f>
        <v>286</v>
      </c>
    </row>
    <row r="6" spans="1:16">
      <c r="A6" s="17" t="s">
        <v>639</v>
      </c>
      <c r="B6" s="780">
        <f>kWh_PV_kleiner_dan_10kW</f>
        <v>2707.6915749492973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34884.175987196395</v>
      </c>
      <c r="C8" s="22">
        <f>C5</f>
        <v>0</v>
      </c>
      <c r="D8" s="22">
        <f>D5</f>
        <v>43456.31550356737</v>
      </c>
      <c r="E8" s="22">
        <f>E5</f>
        <v>4467.5849567081596</v>
      </c>
      <c r="F8" s="22">
        <f>F5</f>
        <v>46896.043106890815</v>
      </c>
      <c r="G8" s="22"/>
      <c r="H8" s="22"/>
      <c r="I8" s="22"/>
      <c r="J8" s="22">
        <f>J5</f>
        <v>6036.8577005548786</v>
      </c>
      <c r="K8" s="22"/>
      <c r="L8" s="22">
        <f>L5</f>
        <v>0</v>
      </c>
      <c r="M8" s="22">
        <f>M5</f>
        <v>0</v>
      </c>
      <c r="N8" s="22">
        <f>N5</f>
        <v>20254.68032877722</v>
      </c>
      <c r="O8" s="22">
        <f>O5</f>
        <v>120.37666666666668</v>
      </c>
      <c r="P8" s="22">
        <f>P5</f>
        <v>286</v>
      </c>
    </row>
    <row r="9" spans="1:16">
      <c r="B9" s="20"/>
      <c r="C9" s="20"/>
      <c r="D9" s="262"/>
      <c r="E9" s="20"/>
      <c r="F9" s="20"/>
      <c r="G9" s="20"/>
      <c r="H9" s="20"/>
      <c r="I9" s="20"/>
      <c r="J9" s="20"/>
      <c r="K9" s="20"/>
      <c r="L9" s="20"/>
      <c r="M9" s="20"/>
      <c r="N9" s="20"/>
      <c r="O9" s="20"/>
      <c r="P9" s="20"/>
    </row>
    <row r="10" spans="1:16">
      <c r="A10" s="25" t="s">
        <v>214</v>
      </c>
      <c r="B10" s="26">
        <f ca="1">'EF ele_warmte'!B12</f>
        <v>0.20796266396984187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7254.6061686901503</v>
      </c>
      <c r="C12" s="24">
        <f ca="1">C10*C8</f>
        <v>0</v>
      </c>
      <c r="D12" s="24">
        <f>D8*D10</f>
        <v>8778.1757317206084</v>
      </c>
      <c r="E12" s="24">
        <f>E10*E8</f>
        <v>1014.1417851727523</v>
      </c>
      <c r="F12" s="24">
        <f>F10*F8</f>
        <v>12521.243509539849</v>
      </c>
      <c r="G12" s="24"/>
      <c r="H12" s="24"/>
      <c r="I12" s="24"/>
      <c r="J12" s="24">
        <f>J10*J8</f>
        <v>2137.0476259964271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1016</v>
      </c>
      <c r="C18" s="169" t="s">
        <v>111</v>
      </c>
      <c r="D18" s="231"/>
      <c r="E18" s="16"/>
    </row>
    <row r="19" spans="1:7">
      <c r="A19" s="174" t="s">
        <v>72</v>
      </c>
      <c r="B19" s="38">
        <f>aantalw2001_ander</f>
        <v>1</v>
      </c>
      <c r="C19" s="169" t="s">
        <v>111</v>
      </c>
      <c r="D19" s="232"/>
      <c r="E19" s="16"/>
    </row>
    <row r="20" spans="1:7">
      <c r="A20" s="174" t="s">
        <v>73</v>
      </c>
      <c r="B20" s="38">
        <f>aantalw2001_propaan</f>
        <v>101</v>
      </c>
      <c r="C20" s="170">
        <f>IF(ISERROR(B20/SUM($B$20,$B$21,$B$22)*100),0,B20/SUM($B$20,$B$21,$B$22)*100)</f>
        <v>12.272174969623331</v>
      </c>
      <c r="D20" s="232"/>
      <c r="E20" s="16"/>
    </row>
    <row r="21" spans="1:7">
      <c r="A21" s="174" t="s">
        <v>74</v>
      </c>
      <c r="B21" s="38">
        <f>aantalw2001_elektriciteit</f>
        <v>581</v>
      </c>
      <c r="C21" s="170">
        <f>IF(ISERROR(B21/SUM($B$20,$B$21,$B$22)*100),0,B21/SUM($B$20,$B$21,$B$22)*100)</f>
        <v>70.59538274605103</v>
      </c>
      <c r="D21" s="232"/>
      <c r="E21" s="16"/>
    </row>
    <row r="22" spans="1:7">
      <c r="A22" s="174" t="s">
        <v>75</v>
      </c>
      <c r="B22" s="38">
        <f>aantalw2001_hout</f>
        <v>141</v>
      </c>
      <c r="C22" s="170">
        <f>IF(ISERROR(B22/SUM($B$20,$B$21,$B$22)*100),0,B22/SUM($B$20,$B$21,$B$22)*100)</f>
        <v>17.132442284325638</v>
      </c>
      <c r="D22" s="232"/>
      <c r="E22" s="16"/>
    </row>
    <row r="23" spans="1:7">
      <c r="A23" s="174" t="s">
        <v>76</v>
      </c>
      <c r="B23" s="38">
        <f>aantalw2001_niet_gespec</f>
        <v>117</v>
      </c>
      <c r="C23" s="169" t="s">
        <v>111</v>
      </c>
      <c r="D23" s="231"/>
      <c r="E23" s="16"/>
    </row>
    <row r="24" spans="1:7">
      <c r="A24" s="174" t="s">
        <v>77</v>
      </c>
      <c r="B24" s="38">
        <f>aantalw2001_steenkool</f>
        <v>374</v>
      </c>
      <c r="C24" s="169" t="s">
        <v>111</v>
      </c>
      <c r="D24" s="232"/>
      <c r="E24" s="16"/>
    </row>
    <row r="25" spans="1:7">
      <c r="A25" s="174" t="s">
        <v>78</v>
      </c>
      <c r="B25" s="38">
        <f>aantalw2001_stookolie</f>
        <v>4020</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7077</v>
      </c>
      <c r="C28" s="37"/>
      <c r="D28" s="231"/>
    </row>
    <row r="29" spans="1:7" s="16" customFormat="1">
      <c r="A29" s="233" t="s">
        <v>666</v>
      </c>
      <c r="B29" s="38">
        <f>SUM(HH_hh_gas_aantal,HH_rest_gas_aantal)</f>
        <v>2843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2843</v>
      </c>
      <c r="C32" s="170">
        <f>IF(ISERROR(B32/SUM($B$32,$B$34,$B$35,$B$36,$B$38,$B$39)*100),0,B32/SUM($B$32,$B$34,$B$35,$B$36,$B$38,$B$39)*100)</f>
        <v>40.257717360521099</v>
      </c>
      <c r="D32" s="236"/>
      <c r="G32" s="16"/>
    </row>
    <row r="33" spans="1:7">
      <c r="A33" s="174" t="s">
        <v>72</v>
      </c>
      <c r="B33" s="35" t="s">
        <v>111</v>
      </c>
      <c r="C33" s="170"/>
      <c r="D33" s="236"/>
      <c r="G33" s="16"/>
    </row>
    <row r="34" spans="1:7">
      <c r="A34" s="174" t="s">
        <v>73</v>
      </c>
      <c r="B34" s="34">
        <f>IF((($B$28-$B$32-$B$39-$B$77-$B$38)*C20/100)&lt;0,0,($B$28-$B$32-$B$39-$B$77-$B$38)*C20/100)</f>
        <v>202.73633049817744</v>
      </c>
      <c r="C34" s="170">
        <f>IF(ISERROR(B34/SUM($B$32,$B$34,$B$35,$B$36,$B$38,$B$39)*100),0,B34/SUM($B$32,$B$34,$B$35,$B$36,$B$38,$B$39)*100)</f>
        <v>2.8708061526221669</v>
      </c>
      <c r="D34" s="236"/>
      <c r="G34" s="16"/>
    </row>
    <row r="35" spans="1:7">
      <c r="A35" s="174" t="s">
        <v>74</v>
      </c>
      <c r="B35" s="34">
        <f>IF((($B$28-$B$32-$B$39-$B$77-$B$38)*C21/100)&lt;0,0,($B$28-$B$32-$B$39-$B$77-$B$38)*C21/100)</f>
        <v>1166.2357229647632</v>
      </c>
      <c r="C35" s="170">
        <f>IF(ISERROR(B35/SUM($B$32,$B$34,$B$35,$B$36,$B$38,$B$39)*100),0,B35/SUM($B$32,$B$34,$B$35,$B$36,$B$38,$B$39)*100)</f>
        <v>16.514241333400783</v>
      </c>
      <c r="D35" s="236"/>
      <c r="G35" s="16"/>
    </row>
    <row r="36" spans="1:7">
      <c r="A36" s="174" t="s">
        <v>75</v>
      </c>
      <c r="B36" s="34">
        <f>IF((($B$28-$B$32-$B$39-$B$77-$B$38)*C22/100)&lt;0,0,($B$28-$B$32-$B$39-$B$77-$B$38)*C22/100)</f>
        <v>283.02794653705956</v>
      </c>
      <c r="C36" s="170">
        <f>IF(ISERROR(B36/SUM($B$32,$B$34,$B$35,$B$36,$B$38,$B$39)*100),0,B36/SUM($B$32,$B$34,$B$35,$B$36,$B$38,$B$39)*100)</f>
        <v>4.0077590843537179</v>
      </c>
      <c r="D36" s="236"/>
      <c r="G36" s="16"/>
    </row>
    <row r="37" spans="1:7">
      <c r="A37" s="174" t="s">
        <v>76</v>
      </c>
      <c r="B37" s="35" t="s">
        <v>111</v>
      </c>
      <c r="C37" s="170"/>
      <c r="D37" s="176"/>
      <c r="G37" s="16"/>
    </row>
    <row r="38" spans="1:7">
      <c r="A38" s="174" t="s">
        <v>77</v>
      </c>
      <c r="B38" s="34">
        <f>IF((B24-(B29-B18)*0.1)&lt;0,0,B24-(B29-B18)*0.1)</f>
        <v>191.29999999999998</v>
      </c>
      <c r="C38" s="170">
        <f>IF(ISERROR(B38/SUM($B$32,$B$34,$B$35,$B$36,$B$38,$B$39)*100),0,B38/SUM($B$32,$B$34,$B$35,$B$36,$B$38,$B$39)*100)</f>
        <v>2.7088643443783629</v>
      </c>
      <c r="D38" s="237"/>
      <c r="G38" s="16"/>
    </row>
    <row r="39" spans="1:7">
      <c r="A39" s="174" t="s">
        <v>78</v>
      </c>
      <c r="B39" s="34">
        <f>IF((B25-(B29-B18))&lt;0,0,B25-(B29-B18)*0.9)</f>
        <v>2375.6999999999998</v>
      </c>
      <c r="C39" s="170">
        <f>IF(ISERROR(B39/SUM($B$32,$B$34,$B$35,$B$36,$B$38,$B$39)*100),0,B39/SUM($B$32,$B$34,$B$35,$B$36,$B$38,$B$39)*100)</f>
        <v>33.640611724723875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2843</v>
      </c>
      <c r="C44" s="35" t="s">
        <v>111</v>
      </c>
      <c r="D44" s="177"/>
    </row>
    <row r="45" spans="1:7">
      <c r="A45" s="174" t="s">
        <v>72</v>
      </c>
      <c r="B45" s="34" t="str">
        <f t="shared" si="0"/>
        <v>-</v>
      </c>
      <c r="C45" s="35" t="s">
        <v>111</v>
      </c>
      <c r="D45" s="177"/>
    </row>
    <row r="46" spans="1:7">
      <c r="A46" s="174" t="s">
        <v>73</v>
      </c>
      <c r="B46" s="34">
        <f t="shared" si="0"/>
        <v>202.73633049817744</v>
      </c>
      <c r="C46" s="35" t="s">
        <v>111</v>
      </c>
      <c r="D46" s="177"/>
    </row>
    <row r="47" spans="1:7">
      <c r="A47" s="174" t="s">
        <v>74</v>
      </c>
      <c r="B47" s="34">
        <f t="shared" si="0"/>
        <v>1166.2357229647632</v>
      </c>
      <c r="C47" s="35" t="s">
        <v>111</v>
      </c>
      <c r="D47" s="177"/>
    </row>
    <row r="48" spans="1:7">
      <c r="A48" s="174" t="s">
        <v>75</v>
      </c>
      <c r="B48" s="34">
        <f t="shared" si="0"/>
        <v>283.02794653705956</v>
      </c>
      <c r="C48" s="34">
        <f>B48*10</f>
        <v>2830.2794653705955</v>
      </c>
      <c r="D48" s="237"/>
    </row>
    <row r="49" spans="1:6">
      <c r="A49" s="174" t="s">
        <v>76</v>
      </c>
      <c r="B49" s="34" t="str">
        <f t="shared" si="0"/>
        <v>-</v>
      </c>
      <c r="C49" s="35" t="s">
        <v>111</v>
      </c>
      <c r="D49" s="237"/>
    </row>
    <row r="50" spans="1:6">
      <c r="A50" s="174" t="s">
        <v>77</v>
      </c>
      <c r="B50" s="34">
        <f t="shared" si="0"/>
        <v>191.29999999999998</v>
      </c>
      <c r="C50" s="34">
        <f>B50*2</f>
        <v>382.59999999999997</v>
      </c>
      <c r="D50" s="237"/>
    </row>
    <row r="51" spans="1:6">
      <c r="A51" s="174" t="s">
        <v>78</v>
      </c>
      <c r="B51" s="34">
        <f t="shared" si="0"/>
        <v>2375.6999999999998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10401.84394091138</v>
      </c>
      <c r="C5" s="18">
        <f>IF(ISERROR('Eigen informatie GS &amp; warmtenet'!B58),0,'Eigen informatie GS &amp; warmtenet'!B58)</f>
        <v>0</v>
      </c>
      <c r="D5" s="31">
        <f>SUM(D6:D12)</f>
        <v>8576.4159606642897</v>
      </c>
      <c r="E5" s="18">
        <f>SUM(E6:E12)</f>
        <v>96.769060619618983</v>
      </c>
      <c r="F5" s="18">
        <f>SUM(F6:F12)</f>
        <v>2193.0807672844894</v>
      </c>
      <c r="G5" s="19"/>
      <c r="H5" s="18"/>
      <c r="I5" s="18"/>
      <c r="J5" s="18">
        <f>SUM(J6:J12)</f>
        <v>0</v>
      </c>
      <c r="K5" s="18"/>
      <c r="L5" s="18"/>
      <c r="M5" s="18"/>
      <c r="N5" s="18">
        <f>SUM(N6:N12)</f>
        <v>812.75930330319966</v>
      </c>
      <c r="O5" s="18">
        <f>B38*B39*B40</f>
        <v>0</v>
      </c>
      <c r="P5" s="18">
        <f>B46*B47*B48/1000-B46*B47*B48/1000/B49</f>
        <v>0</v>
      </c>
      <c r="R5" s="33"/>
    </row>
    <row r="6" spans="1:18">
      <c r="A6" s="33" t="s">
        <v>54</v>
      </c>
      <c r="B6" s="38">
        <f>B26</f>
        <v>1576.6713300287399</v>
      </c>
      <c r="C6" s="34"/>
      <c r="D6" s="38">
        <f>IF(ISERROR(TER_kantoor_gas_kWh/1000),0,TER_kantoor_gas_kWh/1000)*0.902</f>
        <v>4135.8377253578601</v>
      </c>
      <c r="E6" s="34">
        <f>$C$26*'E Balans VL '!I12/100/3.6*1000000</f>
        <v>2.5876372057775376</v>
      </c>
      <c r="F6" s="34">
        <f>$C$26*('E Balans VL '!L12+'E Balans VL '!N12)/100/3.6*1000000</f>
        <v>185.8524527485319</v>
      </c>
      <c r="G6" s="35"/>
      <c r="H6" s="34"/>
      <c r="I6" s="34"/>
      <c r="J6" s="34">
        <f>$C$26*('E Balans VL '!D12+'E Balans VL '!E12)/100/3.6*1000000</f>
        <v>0</v>
      </c>
      <c r="K6" s="34"/>
      <c r="L6" s="34"/>
      <c r="M6" s="34"/>
      <c r="N6" s="34">
        <f>$C$26*'E Balans VL '!Y12/100/3.6*1000000</f>
        <v>0.31855897608232497</v>
      </c>
      <c r="O6" s="34"/>
      <c r="P6" s="34"/>
      <c r="R6" s="33"/>
    </row>
    <row r="7" spans="1:18">
      <c r="A7" s="33" t="s">
        <v>53</v>
      </c>
      <c r="B7" s="38">
        <f t="shared" ref="B7:B12" si="0">B27</f>
        <v>844.667749273803</v>
      </c>
      <c r="C7" s="34"/>
      <c r="D7" s="38">
        <f>IF(ISERROR(TER_horeca_gas_kWh/1000),0,TER_horeca_gas_kWh/1000)*0.902</f>
        <v>579.5913166712121</v>
      </c>
      <c r="E7" s="34">
        <f>$C$27*'E Balans VL '!I9/100/3.6*1000000</f>
        <v>43.83214404068157</v>
      </c>
      <c r="F7" s="34">
        <f>$C$27*('E Balans VL '!L9+'E Balans VL '!N9)/100/3.6*1000000</f>
        <v>192.75379327823833</v>
      </c>
      <c r="G7" s="35"/>
      <c r="H7" s="34"/>
      <c r="I7" s="34"/>
      <c r="J7" s="34">
        <f>$C$27*('E Balans VL '!D9+'E Balans VL '!E9)/100/3.6*1000000</f>
        <v>0</v>
      </c>
      <c r="K7" s="34"/>
      <c r="L7" s="34"/>
      <c r="M7" s="34"/>
      <c r="N7" s="34">
        <f>$C$27*'E Balans VL '!Y9/100/3.6*1000000</f>
        <v>8.9196527237429962E-2</v>
      </c>
      <c r="O7" s="34"/>
      <c r="P7" s="34"/>
      <c r="R7" s="33"/>
    </row>
    <row r="8" spans="1:18">
      <c r="A8" s="6" t="s">
        <v>52</v>
      </c>
      <c r="B8" s="38">
        <f t="shared" si="0"/>
        <v>4082.4018897967399</v>
      </c>
      <c r="C8" s="34"/>
      <c r="D8" s="38">
        <f>IF(ISERROR(TER_handel_gas_kWh/1000),0,TER_handel_gas_kWh/1000)*0.902</f>
        <v>905.76362564585588</v>
      </c>
      <c r="E8" s="34">
        <f>$C$28*'E Balans VL '!I13/100/3.6*1000000</f>
        <v>21.98423583707163</v>
      </c>
      <c r="F8" s="34">
        <f>$C$28*('E Balans VL '!L13+'E Balans VL '!N13)/100/3.6*1000000</f>
        <v>832.52306338699532</v>
      </c>
      <c r="G8" s="35"/>
      <c r="H8" s="34"/>
      <c r="I8" s="34"/>
      <c r="J8" s="34">
        <f>$C$28*('E Balans VL '!D13+'E Balans VL '!E13)/100/3.6*1000000</f>
        <v>0</v>
      </c>
      <c r="K8" s="34"/>
      <c r="L8" s="34"/>
      <c r="M8" s="34"/>
      <c r="N8" s="34">
        <f>$C$28*'E Balans VL '!Y13/100/3.6*1000000</f>
        <v>20.299628743287673</v>
      </c>
      <c r="O8" s="34"/>
      <c r="P8" s="34"/>
      <c r="R8" s="33"/>
    </row>
    <row r="9" spans="1:18">
      <c r="A9" s="33" t="s">
        <v>51</v>
      </c>
      <c r="B9" s="38">
        <f t="shared" si="0"/>
        <v>355.18534244937501</v>
      </c>
      <c r="C9" s="34"/>
      <c r="D9" s="38">
        <f>IF(ISERROR(TER_gezond_gas_kWh/1000),0,TER_gezond_gas_kWh/1000)*0.902</f>
        <v>0</v>
      </c>
      <c r="E9" s="34">
        <f>$C$29*'E Balans VL '!I10/100/3.6*1000000</f>
        <v>0.35199271351832856</v>
      </c>
      <c r="F9" s="34">
        <f>$C$29*('E Balans VL '!L10+'E Balans VL '!N10)/100/3.6*1000000</f>
        <v>123.23907600520458</v>
      </c>
      <c r="G9" s="35"/>
      <c r="H9" s="34"/>
      <c r="I9" s="34"/>
      <c r="J9" s="34">
        <f>$C$29*('E Balans VL '!D10+'E Balans VL '!E10)/100/3.6*1000000</f>
        <v>0</v>
      </c>
      <c r="K9" s="34"/>
      <c r="L9" s="34"/>
      <c r="M9" s="34"/>
      <c r="N9" s="34">
        <f>$C$29*'E Balans VL '!Y10/100/3.6*1000000</f>
        <v>3.0606013263275664</v>
      </c>
      <c r="O9" s="34"/>
      <c r="P9" s="34"/>
      <c r="R9" s="33"/>
    </row>
    <row r="10" spans="1:18">
      <c r="A10" s="33" t="s">
        <v>50</v>
      </c>
      <c r="B10" s="38">
        <f t="shared" si="0"/>
        <v>1119.5680557840799</v>
      </c>
      <c r="C10" s="34"/>
      <c r="D10" s="38">
        <f>IF(ISERROR(TER_ander_gas_kWh/1000),0,TER_ander_gas_kWh/1000)*0.902</f>
        <v>181.09335219971248</v>
      </c>
      <c r="E10" s="34">
        <f>$C$30*'E Balans VL '!I14/100/3.6*1000000</f>
        <v>9.1591856248978569</v>
      </c>
      <c r="F10" s="34">
        <f>$C$30*('E Balans VL '!L14+'E Balans VL '!N14)/100/3.6*1000000</f>
        <v>327.31612000797054</v>
      </c>
      <c r="G10" s="35"/>
      <c r="H10" s="34"/>
      <c r="I10" s="34"/>
      <c r="J10" s="34">
        <f>$C$30*('E Balans VL '!D14+'E Balans VL '!E14)/100/3.6*1000000</f>
        <v>0</v>
      </c>
      <c r="K10" s="34"/>
      <c r="L10" s="34"/>
      <c r="M10" s="34"/>
      <c r="N10" s="34">
        <f>$C$30*'E Balans VL '!Y14/100/3.6*1000000</f>
        <v>645.84386844628546</v>
      </c>
      <c r="O10" s="34"/>
      <c r="P10" s="34"/>
      <c r="R10" s="33"/>
    </row>
    <row r="11" spans="1:18">
      <c r="A11" s="33" t="s">
        <v>55</v>
      </c>
      <c r="B11" s="38">
        <f t="shared" si="0"/>
        <v>259.80872127208301</v>
      </c>
      <c r="C11" s="34"/>
      <c r="D11" s="38">
        <f>IF(ISERROR(TER_onderwijs_gas_kWh/1000),0,TER_onderwijs_gas_kWh/1000)*0.902</f>
        <v>0</v>
      </c>
      <c r="E11" s="34">
        <f>$C$31*'E Balans VL '!I11/100/3.6*1000000</f>
        <v>0.16013513337379268</v>
      </c>
      <c r="F11" s="34">
        <f>$C$31*('E Balans VL '!L11+'E Balans VL '!N11)/100/3.6*1000000</f>
        <v>100.4462591601134</v>
      </c>
      <c r="G11" s="35"/>
      <c r="H11" s="34"/>
      <c r="I11" s="34"/>
      <c r="J11" s="34">
        <f>$C$31*('E Balans VL '!D11+'E Balans VL '!E11)/100/3.6*1000000</f>
        <v>0</v>
      </c>
      <c r="K11" s="34"/>
      <c r="L11" s="34"/>
      <c r="M11" s="34"/>
      <c r="N11" s="34">
        <f>$C$31*'E Balans VL '!Y11/100/3.6*1000000</f>
        <v>0.84510209447787643</v>
      </c>
      <c r="O11" s="34"/>
      <c r="P11" s="34"/>
      <c r="R11" s="33"/>
    </row>
    <row r="12" spans="1:18">
      <c r="A12" s="33" t="s">
        <v>260</v>
      </c>
      <c r="B12" s="38">
        <f t="shared" si="0"/>
        <v>2163.5408523065603</v>
      </c>
      <c r="C12" s="34"/>
      <c r="D12" s="38">
        <f>IF(ISERROR(TER_rest_gas_kWh/1000),0,TER_rest_gas_kWh/1000)*0.902</f>
        <v>2774.1299407896504</v>
      </c>
      <c r="E12" s="34">
        <f>$C$32*'E Balans VL '!I8/100/3.6*1000000</f>
        <v>18.693730064298258</v>
      </c>
      <c r="F12" s="34">
        <f>$C$32*('E Balans VL '!L8+'E Balans VL '!N8)/100/3.6*1000000</f>
        <v>430.95000269743548</v>
      </c>
      <c r="G12" s="35"/>
      <c r="H12" s="34"/>
      <c r="I12" s="34"/>
      <c r="J12" s="34">
        <f>$C$32*('E Balans VL '!D8+'E Balans VL '!E8)/100/3.6*1000000</f>
        <v>0</v>
      </c>
      <c r="K12" s="34"/>
      <c r="L12" s="34"/>
      <c r="M12" s="34"/>
      <c r="N12" s="34">
        <f>$C$32*'E Balans VL '!Y8/100/3.6*1000000</f>
        <v>142.30234718950138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10401.84394091138</v>
      </c>
      <c r="C16" s="22">
        <f t="shared" ca="1" si="1"/>
        <v>0</v>
      </c>
      <c r="D16" s="22">
        <f t="shared" ca="1" si="1"/>
        <v>8576.4159606642897</v>
      </c>
      <c r="E16" s="22">
        <f t="shared" si="1"/>
        <v>96.769060619618983</v>
      </c>
      <c r="F16" s="22">
        <f t="shared" ca="1" si="1"/>
        <v>2193.0807672844894</v>
      </c>
      <c r="G16" s="22">
        <f t="shared" si="1"/>
        <v>0</v>
      </c>
      <c r="H16" s="22">
        <f t="shared" si="1"/>
        <v>0</v>
      </c>
      <c r="I16" s="22">
        <f t="shared" si="1"/>
        <v>0</v>
      </c>
      <c r="J16" s="22">
        <f t="shared" si="1"/>
        <v>0</v>
      </c>
      <c r="K16" s="22">
        <f t="shared" si="1"/>
        <v>0</v>
      </c>
      <c r="L16" s="22">
        <f t="shared" ca="1" si="1"/>
        <v>0</v>
      </c>
      <c r="M16" s="22">
        <f t="shared" si="1"/>
        <v>0</v>
      </c>
      <c r="N16" s="22">
        <f t="shared" ca="1" si="1"/>
        <v>812.75930330319966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0.20796266396984187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2163.1951761504888</v>
      </c>
      <c r="C20" s="24">
        <f t="shared" ref="C20:P20" ca="1" si="2">C16*C18</f>
        <v>0</v>
      </c>
      <c r="D20" s="24">
        <f t="shared" ca="1" si="2"/>
        <v>1732.4360240541866</v>
      </c>
      <c r="E20" s="24">
        <f t="shared" si="2"/>
        <v>21.96657676065351</v>
      </c>
      <c r="F20" s="24">
        <f t="shared" ca="1" si="2"/>
        <v>585.55256486495875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1576.6713300287399</v>
      </c>
      <c r="C26" s="40">
        <f>IF(ISERROR(B26*3.6/1000000/'E Balans VL '!Z12*100),0,B26*3.6/1000000/'E Balans VL '!Z12*100)</f>
        <v>3.3503135083154251E-2</v>
      </c>
      <c r="D26" s="240" t="s">
        <v>707</v>
      </c>
      <c r="F26" s="6"/>
    </row>
    <row r="27" spans="1:18">
      <c r="A27" s="234" t="s">
        <v>53</v>
      </c>
      <c r="B27" s="34">
        <f>IF(ISERROR(TER_horeca_ele_kWh/1000),0,TER_horeca_ele_kWh/1000)</f>
        <v>844.667749273803</v>
      </c>
      <c r="C27" s="40">
        <f>IF(ISERROR(B27*3.6/1000000/'E Balans VL '!Z9*100),0,B27*3.6/1000000/'E Balans VL '!Z9*100)</f>
        <v>6.6481883655227295E-2</v>
      </c>
      <c r="D27" s="240" t="s">
        <v>707</v>
      </c>
      <c r="F27" s="6"/>
    </row>
    <row r="28" spans="1:18">
      <c r="A28" s="174" t="s">
        <v>52</v>
      </c>
      <c r="B28" s="34">
        <f>IF(ISERROR(TER_handel_ele_kWh/1000),0,TER_handel_ele_kWh/1000)</f>
        <v>4082.4018897967399</v>
      </c>
      <c r="C28" s="40">
        <f>IF(ISERROR(B28*3.6/1000000/'E Balans VL '!Z13*100),0,B28*3.6/1000000/'E Balans VL '!Z13*100)</f>
        <v>0.11435026174844223</v>
      </c>
      <c r="D28" s="240" t="s">
        <v>707</v>
      </c>
      <c r="F28" s="6"/>
    </row>
    <row r="29" spans="1:18">
      <c r="A29" s="234" t="s">
        <v>51</v>
      </c>
      <c r="B29" s="34">
        <f>IF(ISERROR(TER_gezond_ele_kWh/1000),0,TER_gezond_ele_kWh/1000)</f>
        <v>355.18534244937501</v>
      </c>
      <c r="C29" s="40">
        <f>IF(ISERROR(B29*3.6/1000000/'E Balans VL '!Z10*100),0,B29*3.6/1000000/'E Balans VL '!Z10*100)</f>
        <v>4.5438945671468778E-2</v>
      </c>
      <c r="D29" s="240" t="s">
        <v>707</v>
      </c>
      <c r="F29" s="6"/>
    </row>
    <row r="30" spans="1:18">
      <c r="A30" s="234" t="s">
        <v>50</v>
      </c>
      <c r="B30" s="34">
        <f>IF(ISERROR(TER_ander_ele_kWh/1000),0,TER_ander_ele_kWh/1000)</f>
        <v>1119.5680557840799</v>
      </c>
      <c r="C30" s="40">
        <f>IF(ISERROR(B30*3.6/1000000/'E Balans VL '!Z14*100),0,B30*3.6/1000000/'E Balans VL '!Z14*100)</f>
        <v>8.3734256927415734E-2</v>
      </c>
      <c r="D30" s="240" t="s">
        <v>707</v>
      </c>
      <c r="F30" s="6"/>
    </row>
    <row r="31" spans="1:18">
      <c r="A31" s="234" t="s">
        <v>55</v>
      </c>
      <c r="B31" s="34">
        <f>IF(ISERROR(TER_onderwijs_ele_kWh/1000),0,TER_onderwijs_ele_kWh/1000)</f>
        <v>259.80872127208301</v>
      </c>
      <c r="C31" s="40">
        <f>IF(ISERROR(B31*3.6/1000000/'E Balans VL '!Z11*100),0,B31*3.6/1000000/'E Balans VL '!Z11*100)</f>
        <v>5.4858948034915707E-2</v>
      </c>
      <c r="D31" s="240" t="s">
        <v>707</v>
      </c>
    </row>
    <row r="32" spans="1:18">
      <c r="A32" s="234" t="s">
        <v>260</v>
      </c>
      <c r="B32" s="34">
        <f>IF(ISERROR(TER_rest_ele_kWh/1000),0,TER_rest_ele_kWh/1000)</f>
        <v>2163.5408523065603</v>
      </c>
      <c r="C32" s="40">
        <f>IF(ISERROR(B32*3.6/1000000/'E Balans VL '!Z8*100),0,B32*3.6/1000000/'E Balans VL '!Z8*100)</f>
        <v>1.7823102562104877E-2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2860.6700547617975</v>
      </c>
      <c r="C5" s="18">
        <f>IF(ISERROR('Eigen informatie GS &amp; warmtenet'!B59),0,'Eigen informatie GS &amp; warmtenet'!B59)</f>
        <v>0</v>
      </c>
      <c r="D5" s="31">
        <f>SUM(D6:D15)</f>
        <v>1363.5309242808726</v>
      </c>
      <c r="E5" s="18">
        <f>SUM(E6:E15)</f>
        <v>24.389649321573401</v>
      </c>
      <c r="F5" s="18">
        <f>SUM(F6:F15)</f>
        <v>1039.7364014453183</v>
      </c>
      <c r="G5" s="19"/>
      <c r="H5" s="18"/>
      <c r="I5" s="18"/>
      <c r="J5" s="18">
        <f>SUM(J6:J15)</f>
        <v>8.4869997543344056</v>
      </c>
      <c r="K5" s="18"/>
      <c r="L5" s="18"/>
      <c r="M5" s="18"/>
      <c r="N5" s="18">
        <f>SUM(N6:N15)</f>
        <v>132.71592570054162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71.158382240568997</v>
      </c>
      <c r="C8" s="34"/>
      <c r="D8" s="38">
        <f>IF( ISERROR(IND_metaal_Gas_kWH/1000),0,IND_metaal_Gas_kWH/1000)*0.902</f>
        <v>0</v>
      </c>
      <c r="E8" s="34">
        <f>C30*'E Balans VL '!I18/100/3.6*1000000</f>
        <v>0.64802656344526044</v>
      </c>
      <c r="F8" s="34">
        <f>C30*'E Balans VL '!L18/100/3.6*1000000+C30*'E Balans VL '!N18/100/3.6*1000000</f>
        <v>9.3852502314948918</v>
      </c>
      <c r="G8" s="35"/>
      <c r="H8" s="34"/>
      <c r="I8" s="34"/>
      <c r="J8" s="41">
        <f>C30*'E Balans VL '!D18/100/3.6*1000000+C30*'E Balans VL '!E18/100/3.6*1000000</f>
        <v>1.1668941504946968</v>
      </c>
      <c r="K8" s="34"/>
      <c r="L8" s="34"/>
      <c r="M8" s="34"/>
      <c r="N8" s="34">
        <f>C30*'E Balans VL '!Y18/100/3.6*1000000</f>
        <v>0.2445430921660024</v>
      </c>
      <c r="O8" s="34"/>
      <c r="P8" s="34"/>
      <c r="R8" s="33"/>
    </row>
    <row r="9" spans="1:18">
      <c r="A9" s="6" t="s">
        <v>33</v>
      </c>
      <c r="B9" s="38">
        <f t="shared" si="0"/>
        <v>868.74490622919802</v>
      </c>
      <c r="C9" s="34"/>
      <c r="D9" s="38">
        <f>IF( ISERROR(IND_andere_gas_kWh/1000),0,IND_andere_gas_kWh/1000)*0.902</f>
        <v>321.77396511884785</v>
      </c>
      <c r="E9" s="34">
        <f>C31*'E Balans VL '!I19/100/3.6*1000000</f>
        <v>5.0214753811929373</v>
      </c>
      <c r="F9" s="34">
        <f>C31*'E Balans VL '!L19/100/3.6*1000000+C31*'E Balans VL '!N19/100/3.6*1000000</f>
        <v>691.12837525603504</v>
      </c>
      <c r="G9" s="35"/>
      <c r="H9" s="34"/>
      <c r="I9" s="34"/>
      <c r="J9" s="41">
        <f>C31*'E Balans VL '!D19/100/3.6*1000000+C31*'E Balans VL '!E19/100/3.6*1000000</f>
        <v>8.2173618384181177E-2</v>
      </c>
      <c r="K9" s="34"/>
      <c r="L9" s="34"/>
      <c r="M9" s="34"/>
      <c r="N9" s="34">
        <f>C31*'E Balans VL '!Y19/100/3.6*1000000</f>
        <v>65.820573630450014</v>
      </c>
      <c r="O9" s="34"/>
      <c r="P9" s="34"/>
      <c r="R9" s="33"/>
    </row>
    <row r="10" spans="1:18">
      <c r="A10" s="6" t="s">
        <v>41</v>
      </c>
      <c r="B10" s="38">
        <f t="shared" si="0"/>
        <v>438.35852321505598</v>
      </c>
      <c r="C10" s="34"/>
      <c r="D10" s="38">
        <f>IF( ISERROR(IND_voed_gas_kWh/1000),0,IND_voed_gas_kWh/1000)*0.902</f>
        <v>494.50312784830476</v>
      </c>
      <c r="E10" s="34">
        <f>C32*'E Balans VL '!I20/100/3.6*1000000</f>
        <v>4.310211095430823</v>
      </c>
      <c r="F10" s="34">
        <f>C32*'E Balans VL '!L20/100/3.6*1000000+C32*'E Balans VL '!N20/100/3.6*1000000</f>
        <v>48.685435740951505</v>
      </c>
      <c r="G10" s="35"/>
      <c r="H10" s="34"/>
      <c r="I10" s="34"/>
      <c r="J10" s="41">
        <f>C32*'E Balans VL '!D20/100/3.6*1000000+C32*'E Balans VL '!E20/100/3.6*1000000</f>
        <v>1.7277699427856188E-3</v>
      </c>
      <c r="K10" s="34"/>
      <c r="L10" s="34"/>
      <c r="M10" s="34"/>
      <c r="N10" s="34">
        <f>C32*'E Balans VL '!Y20/100/3.6*1000000</f>
        <v>6.4910586008795255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43.447297267544499</v>
      </c>
      <c r="C13" s="34"/>
      <c r="D13" s="38">
        <f>IF( ISERROR(IND_papier_gas_kWh/1000),0,IND_papier_gas_kWh/1000)*0.902</f>
        <v>0</v>
      </c>
      <c r="E13" s="34">
        <f>C35*'E Balans VL '!I23/100/3.6*1000000</f>
        <v>1.4798779394408508</v>
      </c>
      <c r="F13" s="34">
        <f>C35*'E Balans VL '!L23/100/3.6*1000000+C35*'E Balans VL '!N23/100/3.6*1000000</f>
        <v>7.1764738224808058</v>
      </c>
      <c r="G13" s="35"/>
      <c r="H13" s="34"/>
      <c r="I13" s="34"/>
      <c r="J13" s="41">
        <f>C35*'E Balans VL '!D23/100/3.6*1000000+C35*'E Balans VL '!E23/100/3.6*1000000</f>
        <v>0</v>
      </c>
      <c r="K13" s="34"/>
      <c r="L13" s="34"/>
      <c r="M13" s="34"/>
      <c r="N13" s="34">
        <f>C35*'E Balans VL '!Y23/100/3.6*1000000</f>
        <v>15.987440228267404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1438.9609458094301</v>
      </c>
      <c r="C15" s="34"/>
      <c r="D15" s="38">
        <f>IF( ISERROR(IND_rest_gas_kWh/1000),0,IND_rest_gas_kWh/1000)*0.902</f>
        <v>547.25383131372007</v>
      </c>
      <c r="E15" s="34">
        <f>C37*'E Balans VL '!I15/100/3.6*1000000</f>
        <v>12.930058342063528</v>
      </c>
      <c r="F15" s="34">
        <f>C37*'E Balans VL '!L15/100/3.6*1000000+C37*'E Balans VL '!N15/100/3.6*1000000</f>
        <v>283.36086639435598</v>
      </c>
      <c r="G15" s="35"/>
      <c r="H15" s="34"/>
      <c r="I15" s="34"/>
      <c r="J15" s="41">
        <f>C37*'E Balans VL '!D15/100/3.6*1000000+C37*'E Balans VL '!E15/100/3.6*1000000</f>
        <v>7.2362042155127426</v>
      </c>
      <c r="K15" s="34"/>
      <c r="L15" s="34"/>
      <c r="M15" s="34"/>
      <c r="N15" s="34">
        <f>C37*'E Balans VL '!Y15/100/3.6*1000000</f>
        <v>44.172310148778664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2860.6700547617975</v>
      </c>
      <c r="C18" s="22">
        <f>C5+C16</f>
        <v>0</v>
      </c>
      <c r="D18" s="22">
        <f>MAX((D5+D16),0)</f>
        <v>1363.5309242808726</v>
      </c>
      <c r="E18" s="22">
        <f>MAX((E5+E16),0)</f>
        <v>24.389649321573401</v>
      </c>
      <c r="F18" s="22">
        <f>MAX((F5+F16),0)</f>
        <v>1039.7364014453183</v>
      </c>
      <c r="G18" s="22"/>
      <c r="H18" s="22"/>
      <c r="I18" s="22"/>
      <c r="J18" s="22">
        <f>MAX((J5+J16),0)</f>
        <v>8.4869997543344056</v>
      </c>
      <c r="K18" s="22"/>
      <c r="L18" s="22">
        <f>MAX((L5+L16),0)</f>
        <v>0</v>
      </c>
      <c r="M18" s="22"/>
      <c r="N18" s="22">
        <f>MAX((N5+N16),0)</f>
        <v>132.71592570054162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0.20796266396984187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594.91256532701686</v>
      </c>
      <c r="C22" s="24">
        <f ca="1">C18*C20</f>
        <v>0</v>
      </c>
      <c r="D22" s="24">
        <f>D18*D20</f>
        <v>275.43324670473629</v>
      </c>
      <c r="E22" s="24">
        <f>E18*E20</f>
        <v>5.5364503959971625</v>
      </c>
      <c r="F22" s="24">
        <f>F18*F20</f>
        <v>277.60961918589999</v>
      </c>
      <c r="G22" s="24"/>
      <c r="H22" s="24"/>
      <c r="I22" s="24"/>
      <c r="J22" s="24">
        <f>J18*J20</f>
        <v>3.0043979130343792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71.158382240568997</v>
      </c>
      <c r="C30" s="40">
        <f>IF(ISERROR(B30*3.6/1000000/'E Balans VL '!Z18*100),0,B30*3.6/1000000/'E Balans VL '!Z18*100)</f>
        <v>3.9594881396681362E-3</v>
      </c>
      <c r="D30" s="240" t="s">
        <v>707</v>
      </c>
    </row>
    <row r="31" spans="1:18">
      <c r="A31" s="6" t="s">
        <v>33</v>
      </c>
      <c r="B31" s="38">
        <f>IF( ISERROR(IND_ander_ele_kWh/1000),0,IND_ander_ele_kWh/1000)</f>
        <v>868.74490622919802</v>
      </c>
      <c r="C31" s="40">
        <f>IF(ISERROR(B31*3.6/1000000/'E Balans VL '!Z19*100),0,B31*3.6/1000000/'E Balans VL '!Z19*100)</f>
        <v>4.0385669103488363E-2</v>
      </c>
      <c r="D31" s="240" t="s">
        <v>707</v>
      </c>
    </row>
    <row r="32" spans="1:18">
      <c r="A32" s="174" t="s">
        <v>41</v>
      </c>
      <c r="B32" s="38">
        <f>IF( ISERROR(IND_voed_ele_kWh/1000),0,IND_voed_ele_kWh/1000)</f>
        <v>438.35852321505598</v>
      </c>
      <c r="C32" s="40">
        <f>IF(ISERROR(B32*3.6/1000000/'E Balans VL '!Z20*100),0,B32*3.6/1000000/'E Balans VL '!Z20*100)</f>
        <v>1.5495088493121647E-2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43.447297267544499</v>
      </c>
      <c r="C35" s="40">
        <f>IF(ISERROR(B35*3.6/1000000/'E Balans VL '!Z22*100),0,B35*3.6/1000000/'E Balans VL '!Z22*100)</f>
        <v>8.7316815783848468E-3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1438.9609458094301</v>
      </c>
      <c r="C37" s="40">
        <f>IF(ISERROR(B37*3.6/1000000/'E Balans VL '!Z15*100),0,B37*3.6/1000000/'E Balans VL '!Z15*100)</f>
        <v>1.0866280807610788E-2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1130.3308879945271</v>
      </c>
      <c r="C5" s="18">
        <f>'Eigen informatie GS &amp; warmtenet'!B60</f>
        <v>0</v>
      </c>
      <c r="D5" s="31">
        <f>IF(ISERROR(SUM(LB_lb_gas_kWh,LB_rest_gas_kWh)/1000),0,SUM(LB_lb_gas_kWh,LB_rest_gas_kWh)/1000)*0.902</f>
        <v>149.460518834418</v>
      </c>
      <c r="E5" s="18">
        <f>B17*'E Balans VL '!I25/3.6*1000000/100</f>
        <v>10.648474311446714</v>
      </c>
      <c r="F5" s="18">
        <f>B17*('E Balans VL '!L25/3.6*1000000+'E Balans VL '!N25/3.6*1000000)/100</f>
        <v>3688.6448114032646</v>
      </c>
      <c r="G5" s="19"/>
      <c r="H5" s="18"/>
      <c r="I5" s="18"/>
      <c r="J5" s="18">
        <f>('E Balans VL '!D25+'E Balans VL '!E25)/3.6*1000000*landbouw!B17/100</f>
        <v>139.82742877330611</v>
      </c>
      <c r="K5" s="18"/>
      <c r="L5" s="18">
        <f>L6*(-1)</f>
        <v>0</v>
      </c>
      <c r="M5" s="18"/>
      <c r="N5" s="18">
        <f>N6*(-1)</f>
        <v>24.94285714285714</v>
      </c>
      <c r="O5" s="18"/>
      <c r="P5" s="18"/>
      <c r="R5" s="33"/>
    </row>
    <row r="6" spans="1:18">
      <c r="A6" s="17" t="s">
        <v>502</v>
      </c>
      <c r="B6" s="18" t="s">
        <v>211</v>
      </c>
      <c r="C6" s="18">
        <f>'lokale energieproductie'!O92+'lokale energieproductie'!O61</f>
        <v>12.47142857142857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-24.94285714285714</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1130.3308879945271</v>
      </c>
      <c r="C8" s="22">
        <f>C5+C6</f>
        <v>12.47142857142857</v>
      </c>
      <c r="D8" s="22">
        <f>MAX((D5+D6),0)</f>
        <v>149.460518834418</v>
      </c>
      <c r="E8" s="22">
        <f>MAX((E5+E6),0)</f>
        <v>10.648474311446714</v>
      </c>
      <c r="F8" s="22">
        <f>MAX((F5+F6),0)</f>
        <v>3688.6448114032646</v>
      </c>
      <c r="G8" s="22"/>
      <c r="H8" s="22"/>
      <c r="I8" s="22"/>
      <c r="J8" s="22">
        <f>MAX((J5+J6),0)</f>
        <v>139.82742877330611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0.20796266396984187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235.06662263473879</v>
      </c>
      <c r="C12" s="24">
        <f ca="1">C8*C10</f>
        <v>0</v>
      </c>
      <c r="D12" s="24">
        <f>D8*D10</f>
        <v>30.191024804552438</v>
      </c>
      <c r="E12" s="24">
        <f>E8*E10</f>
        <v>2.417203668698404</v>
      </c>
      <c r="F12" s="24">
        <f>F8*F10</f>
        <v>984.86816464467165</v>
      </c>
      <c r="G12" s="24"/>
      <c r="H12" s="24"/>
      <c r="I12" s="24"/>
      <c r="J12" s="24">
        <f>J8*J10</f>
        <v>49.498909785750364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0.15302874012425974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362.02621706530562</v>
      </c>
      <c r="C26" s="250">
        <f>B26*'GWP N2O_CH4'!B5</f>
        <v>7602.5505583714175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62.000872464742891</v>
      </c>
      <c r="C27" s="250">
        <f>B27*'GWP N2O_CH4'!B5</f>
        <v>1302.0183217596007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4.8290870178215659</v>
      </c>
      <c r="C28" s="250">
        <f>B28*'GWP N2O_CH4'!B4</f>
        <v>1497.0169755246854</v>
      </c>
      <c r="D28" s="51"/>
    </row>
    <row r="29" spans="1:4">
      <c r="A29" s="42" t="s">
        <v>277</v>
      </c>
      <c r="B29" s="250">
        <f>B34*'ha_N2O bodem landbouw'!B4</f>
        <v>15.547813523821977</v>
      </c>
      <c r="C29" s="250">
        <f>B29*'GWP N2O_CH4'!B4</f>
        <v>4819.8221923848132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4.1974202021134513E-3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6.4110224030863933E-6</v>
      </c>
      <c r="C5" s="447" t="s">
        <v>211</v>
      </c>
      <c r="D5" s="432">
        <f>SUM(D6:D11)</f>
        <v>1.9826505309653373E-5</v>
      </c>
      <c r="E5" s="432">
        <f>SUM(E6:E11)</f>
        <v>1.1290800611317036E-3</v>
      </c>
      <c r="F5" s="445" t="s">
        <v>211</v>
      </c>
      <c r="G5" s="432">
        <f>SUM(G6:G11)</f>
        <v>0.2277581947112256</v>
      </c>
      <c r="H5" s="432">
        <f>SUM(H6:H11)</f>
        <v>4.3653264999375496E-2</v>
      </c>
      <c r="I5" s="447" t="s">
        <v>211</v>
      </c>
      <c r="J5" s="447" t="s">
        <v>211</v>
      </c>
      <c r="K5" s="447" t="s">
        <v>211</v>
      </c>
      <c r="L5" s="447" t="s">
        <v>211</v>
      </c>
      <c r="M5" s="432">
        <f>SUM(M6:M11)</f>
        <v>1.2138971012079811E-2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4.2604952189215637E-6</v>
      </c>
      <c r="C6" s="433"/>
      <c r="D6" s="433">
        <f>vkm_2011_GW_PW*SUMIFS(TableVerdeelsleutelVkm[CNG],TableVerdeelsleutelVkm[Voertuigtype],"Lichte voertuigen")*SUMIFS(TableECFTransport[EnergieConsumptieFactor (PJ per km)],TableECFTransport[Index],CONCATENATE($A6,"_CNG_CNG"))</f>
        <v>1.040420067557341E-5</v>
      </c>
      <c r="E6" s="435">
        <f>vkm_2011_GW_PW*SUMIFS(TableVerdeelsleutelVkm[LPG],TableVerdeelsleutelVkm[Voertuigtype],"Lichte voertuigen")*SUMIFS(TableECFTransport[EnergieConsumptieFactor (PJ per km)],TableECFTransport[Index],CONCATENATE($A6,"_LPG_LPG"))</f>
        <v>6.1670724858485407E-4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8.9152287404097419E-2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2.3364253230842184E-2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5.0386979015513153E-3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5.4841453783693088E-2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2.2126388513152342E-5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2.4431697982365348E-3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2.1505271841648296E-6</v>
      </c>
      <c r="C8" s="433"/>
      <c r="D8" s="435">
        <f>vkm_2011_NGW_PW*SUMIFS(TableVerdeelsleutelVkm[CNG],TableVerdeelsleutelVkm[Voertuigtype],"Lichte voertuigen")*SUMIFS(TableECFTransport[EnergieConsumptieFactor (PJ per km)],TableECFTransport[Index],CONCATENATE($A8,"_CNG_CNG"))</f>
        <v>9.4223046340799625E-6</v>
      </c>
      <c r="E8" s="435">
        <f>vkm_2011_NGW_PW*SUMIFS(TableVerdeelsleutelVkm[LPG],TableVerdeelsleutelVkm[Voertuigtype],"Lichte voertuigen")*SUMIFS(TableECFTransport[EnergieConsumptieFactor (PJ per km)],TableECFTransport[Index],CONCATENATE($A8,"_LPG_LPG"))</f>
        <v>5.1237281254684955E-4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6.9972358884103816E-2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2.0262040331261062E-2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4.0427026729927071E-3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1.3792094639331298E-2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4.8450487590960914E-6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6.1440063929925413E-4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1.7808395564128869</v>
      </c>
      <c r="C14" s="22"/>
      <c r="D14" s="22">
        <f t="shared" ref="D14:M14" si="0">((D5)*10^9/3600)+D12</f>
        <v>5.5073625860148256</v>
      </c>
      <c r="E14" s="22">
        <f t="shared" si="0"/>
        <v>313.63335031436213</v>
      </c>
      <c r="F14" s="22"/>
      <c r="G14" s="22">
        <f t="shared" si="0"/>
        <v>63266.165197562666</v>
      </c>
      <c r="H14" s="22">
        <f t="shared" si="0"/>
        <v>12125.906944270972</v>
      </c>
      <c r="I14" s="22"/>
      <c r="J14" s="22"/>
      <c r="K14" s="22"/>
      <c r="L14" s="22"/>
      <c r="M14" s="22">
        <f t="shared" si="0"/>
        <v>3371.9363922443918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0.20796266396984187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0.37034813825449547</v>
      </c>
      <c r="C18" s="24"/>
      <c r="D18" s="24">
        <f t="shared" ref="D18:M18" si="1">D14*D16</f>
        <v>1.1124872423749947</v>
      </c>
      <c r="E18" s="24">
        <f t="shared" si="1"/>
        <v>71.194770521360212</v>
      </c>
      <c r="F18" s="24"/>
      <c r="G18" s="24">
        <f t="shared" si="1"/>
        <v>16892.066107749233</v>
      </c>
      <c r="H18" s="24">
        <f t="shared" si="1"/>
        <v>3019.3508291234721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3.326586128128277E-3</v>
      </c>
      <c r="H50" s="323">
        <f t="shared" si="2"/>
        <v>0</v>
      </c>
      <c r="I50" s="323">
        <f t="shared" si="2"/>
        <v>0</v>
      </c>
      <c r="J50" s="323">
        <f t="shared" si="2"/>
        <v>0</v>
      </c>
      <c r="K50" s="323">
        <f t="shared" si="2"/>
        <v>0</v>
      </c>
      <c r="L50" s="323">
        <f t="shared" si="2"/>
        <v>0</v>
      </c>
      <c r="M50" s="323">
        <f t="shared" si="2"/>
        <v>1.4607588443318306E-4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3.326586128128277E-3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1.4607588443318306E-4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924.0517022578548</v>
      </c>
      <c r="H54" s="22">
        <f t="shared" si="3"/>
        <v>0</v>
      </c>
      <c r="I54" s="22">
        <f t="shared" si="3"/>
        <v>0</v>
      </c>
      <c r="J54" s="22">
        <f t="shared" si="3"/>
        <v>0</v>
      </c>
      <c r="K54" s="22">
        <f t="shared" si="3"/>
        <v>0</v>
      </c>
      <c r="L54" s="22">
        <f t="shared" si="3"/>
        <v>0</v>
      </c>
      <c r="M54" s="22">
        <f t="shared" si="3"/>
        <v>40.576634564773073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0.20796266396984187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246.72180450284725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11833.098940911379</v>
      </c>
      <c r="D10" s="688">
        <f ca="1">tertiair!C16</f>
        <v>0</v>
      </c>
      <c r="E10" s="688">
        <f ca="1">tertiair!D16</f>
        <v>8576.4159606642897</v>
      </c>
      <c r="F10" s="688">
        <f>tertiair!E16</f>
        <v>96.769060619618983</v>
      </c>
      <c r="G10" s="688">
        <f ca="1">tertiair!F16</f>
        <v>2193.0807672844894</v>
      </c>
      <c r="H10" s="688">
        <f>tertiair!G16</f>
        <v>0</v>
      </c>
      <c r="I10" s="688">
        <f>tertiair!H16</f>
        <v>0</v>
      </c>
      <c r="J10" s="688">
        <f>tertiair!I16</f>
        <v>0</v>
      </c>
      <c r="K10" s="688">
        <f>tertiair!J16</f>
        <v>0</v>
      </c>
      <c r="L10" s="688">
        <f>tertiair!K16</f>
        <v>0</v>
      </c>
      <c r="M10" s="688">
        <f ca="1">tertiair!L16</f>
        <v>0</v>
      </c>
      <c r="N10" s="688">
        <f>tertiair!M16</f>
        <v>0</v>
      </c>
      <c r="O10" s="688">
        <f ca="1">tertiair!N16</f>
        <v>812.75930330319966</v>
      </c>
      <c r="P10" s="688">
        <f>tertiair!O16</f>
        <v>0</v>
      </c>
      <c r="Q10" s="689">
        <f>tertiair!P16</f>
        <v>0</v>
      </c>
      <c r="R10" s="691">
        <f ca="1">SUM(C10:Q10)</f>
        <v>23512.124032782976</v>
      </c>
      <c r="S10" s="68"/>
    </row>
    <row r="11" spans="1:19" s="457" customFormat="1">
      <c r="A11" s="803" t="s">
        <v>225</v>
      </c>
      <c r="B11" s="808"/>
      <c r="C11" s="688">
        <f>huishoudens!B8</f>
        <v>34884.175987196395</v>
      </c>
      <c r="D11" s="688">
        <f>huishoudens!C8</f>
        <v>0</v>
      </c>
      <c r="E11" s="688">
        <f>huishoudens!D8</f>
        <v>43456.31550356737</v>
      </c>
      <c r="F11" s="688">
        <f>huishoudens!E8</f>
        <v>4467.5849567081596</v>
      </c>
      <c r="G11" s="688">
        <f>huishoudens!F8</f>
        <v>46896.043106890815</v>
      </c>
      <c r="H11" s="688">
        <f>huishoudens!G8</f>
        <v>0</v>
      </c>
      <c r="I11" s="688">
        <f>huishoudens!H8</f>
        <v>0</v>
      </c>
      <c r="J11" s="688">
        <f>huishoudens!I8</f>
        <v>0</v>
      </c>
      <c r="K11" s="688">
        <f>huishoudens!J8</f>
        <v>6036.8577005548786</v>
      </c>
      <c r="L11" s="688">
        <f>huishoudens!K8</f>
        <v>0</v>
      </c>
      <c r="M11" s="688">
        <f>huishoudens!L8</f>
        <v>0</v>
      </c>
      <c r="N11" s="688">
        <f>huishoudens!M8</f>
        <v>0</v>
      </c>
      <c r="O11" s="688">
        <f>huishoudens!N8</f>
        <v>20254.68032877722</v>
      </c>
      <c r="P11" s="688">
        <f>huishoudens!O8</f>
        <v>120.37666666666668</v>
      </c>
      <c r="Q11" s="689">
        <f>huishoudens!P8</f>
        <v>286</v>
      </c>
      <c r="R11" s="691">
        <f>SUM(C11:Q11)</f>
        <v>156402.03425036152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2860.6700547617975</v>
      </c>
      <c r="D13" s="688">
        <f>industrie!C18</f>
        <v>0</v>
      </c>
      <c r="E13" s="688">
        <f>industrie!D18</f>
        <v>1363.5309242808726</v>
      </c>
      <c r="F13" s="688">
        <f>industrie!E18</f>
        <v>24.389649321573401</v>
      </c>
      <c r="G13" s="688">
        <f>industrie!F18</f>
        <v>1039.7364014453183</v>
      </c>
      <c r="H13" s="688">
        <f>industrie!G18</f>
        <v>0</v>
      </c>
      <c r="I13" s="688">
        <f>industrie!H18</f>
        <v>0</v>
      </c>
      <c r="J13" s="688">
        <f>industrie!I18</f>
        <v>0</v>
      </c>
      <c r="K13" s="688">
        <f>industrie!J18</f>
        <v>8.4869997543344056</v>
      </c>
      <c r="L13" s="688">
        <f>industrie!K18</f>
        <v>0</v>
      </c>
      <c r="M13" s="688">
        <f>industrie!L18</f>
        <v>0</v>
      </c>
      <c r="N13" s="688">
        <f>industrie!M18</f>
        <v>0</v>
      </c>
      <c r="O13" s="688">
        <f>industrie!N18</f>
        <v>132.71592570054162</v>
      </c>
      <c r="P13" s="688">
        <f>industrie!O18</f>
        <v>0</v>
      </c>
      <c r="Q13" s="689">
        <f>industrie!P18</f>
        <v>0</v>
      </c>
      <c r="R13" s="691">
        <f>SUM(C13:Q13)</f>
        <v>5429.5299552644374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49577.944982869565</v>
      </c>
      <c r="D16" s="721">
        <f t="shared" ref="D16:R16" ca="1" si="0">SUM(D9:D15)</f>
        <v>0</v>
      </c>
      <c r="E16" s="721">
        <f t="shared" ca="1" si="0"/>
        <v>53396.262388512536</v>
      </c>
      <c r="F16" s="721">
        <f t="shared" si="0"/>
        <v>4588.7436666493522</v>
      </c>
      <c r="G16" s="721">
        <f t="shared" ca="1" si="0"/>
        <v>50128.860275620624</v>
      </c>
      <c r="H16" s="721">
        <f t="shared" si="0"/>
        <v>0</v>
      </c>
      <c r="I16" s="721">
        <f t="shared" si="0"/>
        <v>0</v>
      </c>
      <c r="J16" s="721">
        <f t="shared" si="0"/>
        <v>0</v>
      </c>
      <c r="K16" s="721">
        <f t="shared" si="0"/>
        <v>6045.3447003092133</v>
      </c>
      <c r="L16" s="721">
        <f t="shared" si="0"/>
        <v>0</v>
      </c>
      <c r="M16" s="721">
        <f t="shared" ca="1" si="0"/>
        <v>0</v>
      </c>
      <c r="N16" s="721">
        <f t="shared" si="0"/>
        <v>0</v>
      </c>
      <c r="O16" s="721">
        <f t="shared" ca="1" si="0"/>
        <v>21200.155557780959</v>
      </c>
      <c r="P16" s="721">
        <f t="shared" si="0"/>
        <v>120.37666666666668</v>
      </c>
      <c r="Q16" s="721">
        <f t="shared" si="0"/>
        <v>286</v>
      </c>
      <c r="R16" s="721">
        <f t="shared" ca="1" si="0"/>
        <v>185343.68823840894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924.0517022578548</v>
      </c>
      <c r="I19" s="688">
        <f>transport!H54</f>
        <v>0</v>
      </c>
      <c r="J19" s="688">
        <f>transport!I54</f>
        <v>0</v>
      </c>
      <c r="K19" s="688">
        <f>transport!J54</f>
        <v>0</v>
      </c>
      <c r="L19" s="688">
        <f>transport!K54</f>
        <v>0</v>
      </c>
      <c r="M19" s="688">
        <f>transport!L54</f>
        <v>0</v>
      </c>
      <c r="N19" s="688">
        <f>transport!M54</f>
        <v>40.576634564773073</v>
      </c>
      <c r="O19" s="688">
        <f>transport!N54</f>
        <v>0</v>
      </c>
      <c r="P19" s="688">
        <f>transport!O54</f>
        <v>0</v>
      </c>
      <c r="Q19" s="689">
        <f>transport!P54</f>
        <v>0</v>
      </c>
      <c r="R19" s="691">
        <f>SUM(C19:Q19)</f>
        <v>964.62833682262783</v>
      </c>
      <c r="S19" s="68"/>
    </row>
    <row r="20" spans="1:19" s="457" customFormat="1">
      <c r="A20" s="803" t="s">
        <v>307</v>
      </c>
      <c r="B20" s="808"/>
      <c r="C20" s="688">
        <f>transport!B14</f>
        <v>1.7808395564128869</v>
      </c>
      <c r="D20" s="688">
        <f>transport!C14</f>
        <v>0</v>
      </c>
      <c r="E20" s="688">
        <f>transport!D14</f>
        <v>5.5073625860148256</v>
      </c>
      <c r="F20" s="688">
        <f>transport!E14</f>
        <v>313.63335031436213</v>
      </c>
      <c r="G20" s="688">
        <f>transport!F14</f>
        <v>0</v>
      </c>
      <c r="H20" s="688">
        <f>transport!G14</f>
        <v>63266.165197562666</v>
      </c>
      <c r="I20" s="688">
        <f>transport!H14</f>
        <v>12125.906944270972</v>
      </c>
      <c r="J20" s="688">
        <f>transport!I14</f>
        <v>0</v>
      </c>
      <c r="K20" s="688">
        <f>transport!J14</f>
        <v>0</v>
      </c>
      <c r="L20" s="688">
        <f>transport!K14</f>
        <v>0</v>
      </c>
      <c r="M20" s="688">
        <f>transport!L14</f>
        <v>0</v>
      </c>
      <c r="N20" s="688">
        <f>transport!M14</f>
        <v>3371.9363922443918</v>
      </c>
      <c r="O20" s="688">
        <f>transport!N14</f>
        <v>0</v>
      </c>
      <c r="P20" s="688">
        <f>transport!O14</f>
        <v>0</v>
      </c>
      <c r="Q20" s="689">
        <f>transport!P14</f>
        <v>0</v>
      </c>
      <c r="R20" s="691">
        <f>SUM(C20:Q20)</f>
        <v>79084.93008653482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1.7808395564128869</v>
      </c>
      <c r="D22" s="806">
        <f t="shared" ref="D22:R22" si="1">SUM(D18:D21)</f>
        <v>0</v>
      </c>
      <c r="E22" s="806">
        <f t="shared" si="1"/>
        <v>5.5073625860148256</v>
      </c>
      <c r="F22" s="806">
        <f t="shared" si="1"/>
        <v>313.63335031436213</v>
      </c>
      <c r="G22" s="806">
        <f t="shared" si="1"/>
        <v>0</v>
      </c>
      <c r="H22" s="806">
        <f t="shared" si="1"/>
        <v>64190.216899820523</v>
      </c>
      <c r="I22" s="806">
        <f t="shared" si="1"/>
        <v>12125.906944270972</v>
      </c>
      <c r="J22" s="806">
        <f t="shared" si="1"/>
        <v>0</v>
      </c>
      <c r="K22" s="806">
        <f t="shared" si="1"/>
        <v>0</v>
      </c>
      <c r="L22" s="806">
        <f t="shared" si="1"/>
        <v>0</v>
      </c>
      <c r="M22" s="806">
        <f t="shared" si="1"/>
        <v>0</v>
      </c>
      <c r="N22" s="806">
        <f t="shared" si="1"/>
        <v>3412.5130268091648</v>
      </c>
      <c r="O22" s="806">
        <f t="shared" si="1"/>
        <v>0</v>
      </c>
      <c r="P22" s="806">
        <f t="shared" si="1"/>
        <v>0</v>
      </c>
      <c r="Q22" s="806">
        <f t="shared" si="1"/>
        <v>0</v>
      </c>
      <c r="R22" s="806">
        <f t="shared" si="1"/>
        <v>80049.558423357448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1130.3308879945271</v>
      </c>
      <c r="D24" s="688">
        <f>+landbouw!C8</f>
        <v>12.47142857142857</v>
      </c>
      <c r="E24" s="688">
        <f>+landbouw!D8</f>
        <v>149.460518834418</v>
      </c>
      <c r="F24" s="688">
        <f>+landbouw!E8</f>
        <v>10.648474311446714</v>
      </c>
      <c r="G24" s="688">
        <f>+landbouw!F8</f>
        <v>3688.6448114032646</v>
      </c>
      <c r="H24" s="688">
        <f>+landbouw!G8</f>
        <v>0</v>
      </c>
      <c r="I24" s="688">
        <f>+landbouw!H8</f>
        <v>0</v>
      </c>
      <c r="J24" s="688">
        <f>+landbouw!I8</f>
        <v>0</v>
      </c>
      <c r="K24" s="688">
        <f>+landbouw!J8</f>
        <v>139.82742877330611</v>
      </c>
      <c r="L24" s="688">
        <f>+landbouw!K8</f>
        <v>0</v>
      </c>
      <c r="M24" s="688">
        <f>+landbouw!L8</f>
        <v>0</v>
      </c>
      <c r="N24" s="688">
        <f>+landbouw!M8</f>
        <v>0</v>
      </c>
      <c r="O24" s="688">
        <f>+landbouw!N8</f>
        <v>0</v>
      </c>
      <c r="P24" s="688">
        <f>+landbouw!O8</f>
        <v>0</v>
      </c>
      <c r="Q24" s="689">
        <f>+landbouw!P8</f>
        <v>0</v>
      </c>
      <c r="R24" s="691">
        <f>SUM(C24:Q24)</f>
        <v>5131.3835498883909</v>
      </c>
      <c r="S24" s="68"/>
    </row>
    <row r="25" spans="1:19" s="457" customFormat="1" ht="15" thickBot="1">
      <c r="A25" s="825" t="s">
        <v>912</v>
      </c>
      <c r="B25" s="1001"/>
      <c r="C25" s="1002">
        <f>IF(Onbekend_ele_kWh="---",0,Onbekend_ele_kWh)/1000+IF(REST_rest_ele_kWh="---",0,REST_rest_ele_kWh)/1000</f>
        <v>686.03214330991295</v>
      </c>
      <c r="D25" s="1002"/>
      <c r="E25" s="1002">
        <f>IF(onbekend_gas_kWh="---",0,onbekend_gas_kWh)/1000+IF(REST_rest_gas_kWh="---",0,REST_rest_gas_kWh)/1000</f>
        <v>1069.1085464521</v>
      </c>
      <c r="F25" s="1002"/>
      <c r="G25" s="1002"/>
      <c r="H25" s="1002"/>
      <c r="I25" s="1002"/>
      <c r="J25" s="1002"/>
      <c r="K25" s="1002"/>
      <c r="L25" s="1002"/>
      <c r="M25" s="1002"/>
      <c r="N25" s="1002"/>
      <c r="O25" s="1002"/>
      <c r="P25" s="1002"/>
      <c r="Q25" s="1003"/>
      <c r="R25" s="691">
        <f>SUM(C25:Q25)</f>
        <v>1755.1406897620129</v>
      </c>
      <c r="S25" s="68"/>
    </row>
    <row r="26" spans="1:19" s="457" customFormat="1" ht="15.75" thickBot="1">
      <c r="A26" s="694" t="s">
        <v>913</v>
      </c>
      <c r="B26" s="811"/>
      <c r="C26" s="806">
        <f>SUM(C24:C25)</f>
        <v>1816.36303130444</v>
      </c>
      <c r="D26" s="806">
        <f t="shared" ref="D26:R26" si="2">SUM(D24:D25)</f>
        <v>12.47142857142857</v>
      </c>
      <c r="E26" s="806">
        <f t="shared" si="2"/>
        <v>1218.569065286518</v>
      </c>
      <c r="F26" s="806">
        <f t="shared" si="2"/>
        <v>10.648474311446714</v>
      </c>
      <c r="G26" s="806">
        <f t="shared" si="2"/>
        <v>3688.6448114032646</v>
      </c>
      <c r="H26" s="806">
        <f t="shared" si="2"/>
        <v>0</v>
      </c>
      <c r="I26" s="806">
        <f t="shared" si="2"/>
        <v>0</v>
      </c>
      <c r="J26" s="806">
        <f t="shared" si="2"/>
        <v>0</v>
      </c>
      <c r="K26" s="806">
        <f t="shared" si="2"/>
        <v>139.82742877330611</v>
      </c>
      <c r="L26" s="806">
        <f t="shared" si="2"/>
        <v>0</v>
      </c>
      <c r="M26" s="806">
        <f t="shared" si="2"/>
        <v>0</v>
      </c>
      <c r="N26" s="806">
        <f t="shared" si="2"/>
        <v>0</v>
      </c>
      <c r="O26" s="806">
        <f t="shared" si="2"/>
        <v>0</v>
      </c>
      <c r="P26" s="806">
        <f t="shared" si="2"/>
        <v>0</v>
      </c>
      <c r="Q26" s="806">
        <f t="shared" si="2"/>
        <v>0</v>
      </c>
      <c r="R26" s="806">
        <f t="shared" si="2"/>
        <v>6886.5242396504036</v>
      </c>
      <c r="S26" s="68"/>
    </row>
    <row r="27" spans="1:19" s="457" customFormat="1" ht="17.25" thickTop="1" thickBot="1">
      <c r="A27" s="695" t="s">
        <v>116</v>
      </c>
      <c r="B27" s="798"/>
      <c r="C27" s="696">
        <f ca="1">C22+C16+C26</f>
        <v>51396.08885373042</v>
      </c>
      <c r="D27" s="696">
        <f t="shared" ref="D27:R27" ca="1" si="3">D22+D16+D26</f>
        <v>12.47142857142857</v>
      </c>
      <c r="E27" s="696">
        <f t="shared" ca="1" si="3"/>
        <v>54620.338816385069</v>
      </c>
      <c r="F27" s="696">
        <f t="shared" si="3"/>
        <v>4913.0254912751616</v>
      </c>
      <c r="G27" s="696">
        <f t="shared" ca="1" si="3"/>
        <v>53817.505087023892</v>
      </c>
      <c r="H27" s="696">
        <f t="shared" si="3"/>
        <v>64190.216899820523</v>
      </c>
      <c r="I27" s="696">
        <f t="shared" si="3"/>
        <v>12125.906944270972</v>
      </c>
      <c r="J27" s="696">
        <f t="shared" si="3"/>
        <v>0</v>
      </c>
      <c r="K27" s="696">
        <f t="shared" si="3"/>
        <v>6185.1721290825189</v>
      </c>
      <c r="L27" s="696">
        <f t="shared" si="3"/>
        <v>0</v>
      </c>
      <c r="M27" s="696">
        <f t="shared" ca="1" si="3"/>
        <v>0</v>
      </c>
      <c r="N27" s="696">
        <f t="shared" si="3"/>
        <v>3412.5130268091648</v>
      </c>
      <c r="O27" s="696">
        <f t="shared" ca="1" si="3"/>
        <v>21200.155557780959</v>
      </c>
      <c r="P27" s="696">
        <f t="shared" si="3"/>
        <v>120.37666666666668</v>
      </c>
      <c r="Q27" s="696">
        <f t="shared" si="3"/>
        <v>286</v>
      </c>
      <c r="R27" s="696">
        <f t="shared" ca="1" si="3"/>
        <v>272279.77090141678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2460.8427787706451</v>
      </c>
      <c r="D40" s="688">
        <f ca="1">tertiair!C20</f>
        <v>0</v>
      </c>
      <c r="E40" s="688">
        <f ca="1">tertiair!D20</f>
        <v>1732.4360240541866</v>
      </c>
      <c r="F40" s="688">
        <f>tertiair!E20</f>
        <v>21.96657676065351</v>
      </c>
      <c r="G40" s="688">
        <f ca="1">tertiair!F20</f>
        <v>585.55256486495875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4800.7979444504444</v>
      </c>
    </row>
    <row r="41" spans="1:18">
      <c r="A41" s="816" t="s">
        <v>225</v>
      </c>
      <c r="B41" s="823"/>
      <c r="C41" s="688">
        <f ca="1">huishoudens!B12</f>
        <v>7254.6061686901503</v>
      </c>
      <c r="D41" s="688">
        <f ca="1">huishoudens!C12</f>
        <v>0</v>
      </c>
      <c r="E41" s="688">
        <f>huishoudens!D12</f>
        <v>8778.1757317206084</v>
      </c>
      <c r="F41" s="688">
        <f>huishoudens!E12</f>
        <v>1014.1417851727523</v>
      </c>
      <c r="G41" s="688">
        <f>huishoudens!F12</f>
        <v>12521.243509539849</v>
      </c>
      <c r="H41" s="688">
        <f>huishoudens!G12</f>
        <v>0</v>
      </c>
      <c r="I41" s="688">
        <f>huishoudens!H12</f>
        <v>0</v>
      </c>
      <c r="J41" s="688">
        <f>huishoudens!I12</f>
        <v>0</v>
      </c>
      <c r="K41" s="688">
        <f>huishoudens!J12</f>
        <v>2137.0476259964271</v>
      </c>
      <c r="L41" s="688">
        <f>huishoudens!K12</f>
        <v>0</v>
      </c>
      <c r="M41" s="688">
        <f>huishoudens!L12</f>
        <v>0</v>
      </c>
      <c r="N41" s="688">
        <f>huishoudens!M12</f>
        <v>0</v>
      </c>
      <c r="O41" s="688">
        <f>huishoudens!N12</f>
        <v>0</v>
      </c>
      <c r="P41" s="688">
        <f>huishoudens!O12</f>
        <v>0</v>
      </c>
      <c r="Q41" s="763">
        <f>huishoudens!P12</f>
        <v>0</v>
      </c>
      <c r="R41" s="844">
        <f t="shared" ca="1" si="4"/>
        <v>31705.214821119785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594.91256532701686</v>
      </c>
      <c r="D43" s="688">
        <f ca="1">industrie!C22</f>
        <v>0</v>
      </c>
      <c r="E43" s="688">
        <f>industrie!D22</f>
        <v>275.43324670473629</v>
      </c>
      <c r="F43" s="688">
        <f>industrie!E22</f>
        <v>5.5364503959971625</v>
      </c>
      <c r="G43" s="688">
        <f>industrie!F22</f>
        <v>277.60961918589999</v>
      </c>
      <c r="H43" s="688">
        <f>industrie!G22</f>
        <v>0</v>
      </c>
      <c r="I43" s="688">
        <f>industrie!H22</f>
        <v>0</v>
      </c>
      <c r="J43" s="688">
        <f>industrie!I22</f>
        <v>0</v>
      </c>
      <c r="K43" s="688">
        <f>industrie!J22</f>
        <v>3.0043979130343792</v>
      </c>
      <c r="L43" s="688">
        <f>industrie!K22</f>
        <v>0</v>
      </c>
      <c r="M43" s="688">
        <f>industrie!L22</f>
        <v>0</v>
      </c>
      <c r="N43" s="688">
        <f>industrie!M22</f>
        <v>0</v>
      </c>
      <c r="O43" s="688">
        <f>industrie!N22</f>
        <v>0</v>
      </c>
      <c r="P43" s="688">
        <f>industrie!O22</f>
        <v>0</v>
      </c>
      <c r="Q43" s="763">
        <f>industrie!P22</f>
        <v>0</v>
      </c>
      <c r="R43" s="843">
        <f t="shared" ca="1" si="4"/>
        <v>1156.4962795266847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10310.361512787811</v>
      </c>
      <c r="D46" s="721">
        <f t="shared" ref="D46:Q46" ca="1" si="5">SUM(D39:D45)</f>
        <v>0</v>
      </c>
      <c r="E46" s="721">
        <f t="shared" ca="1" si="5"/>
        <v>10786.045002479532</v>
      </c>
      <c r="F46" s="721">
        <f t="shared" si="5"/>
        <v>1041.6448123294031</v>
      </c>
      <c r="G46" s="721">
        <f t="shared" ca="1" si="5"/>
        <v>13384.405693590707</v>
      </c>
      <c r="H46" s="721">
        <f t="shared" si="5"/>
        <v>0</v>
      </c>
      <c r="I46" s="721">
        <f t="shared" si="5"/>
        <v>0</v>
      </c>
      <c r="J46" s="721">
        <f t="shared" si="5"/>
        <v>0</v>
      </c>
      <c r="K46" s="721">
        <f t="shared" si="5"/>
        <v>2140.0520239094612</v>
      </c>
      <c r="L46" s="721">
        <f t="shared" si="5"/>
        <v>0</v>
      </c>
      <c r="M46" s="721">
        <f t="shared" ca="1" si="5"/>
        <v>0</v>
      </c>
      <c r="N46" s="721">
        <f t="shared" si="5"/>
        <v>0</v>
      </c>
      <c r="O46" s="721">
        <f t="shared" ca="1" si="5"/>
        <v>0</v>
      </c>
      <c r="P46" s="721">
        <f t="shared" si="5"/>
        <v>0</v>
      </c>
      <c r="Q46" s="721">
        <f t="shared" si="5"/>
        <v>0</v>
      </c>
      <c r="R46" s="721">
        <f ca="1">SUM(R39:R45)</f>
        <v>37662.509045096915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246.72180450284725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246.72180450284725</v>
      </c>
    </row>
    <row r="50" spans="1:18">
      <c r="A50" s="819" t="s">
        <v>307</v>
      </c>
      <c r="B50" s="829"/>
      <c r="C50" s="1008">
        <f ca="1">transport!B18</f>
        <v>0.37034813825449547</v>
      </c>
      <c r="D50" s="1008">
        <f>transport!C18</f>
        <v>0</v>
      </c>
      <c r="E50" s="1008">
        <f>transport!D18</f>
        <v>1.1124872423749947</v>
      </c>
      <c r="F50" s="1008">
        <f>transport!E18</f>
        <v>71.194770521360212</v>
      </c>
      <c r="G50" s="1008">
        <f>transport!F18</f>
        <v>0</v>
      </c>
      <c r="H50" s="1008">
        <f>transport!G18</f>
        <v>16892.066107749233</v>
      </c>
      <c r="I50" s="1008">
        <f>transport!H18</f>
        <v>3019.3508291234721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19984.094542774696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0.37034813825449547</v>
      </c>
      <c r="D52" s="721">
        <f t="shared" ref="D52:Q52" ca="1" si="6">SUM(D48:D51)</f>
        <v>0</v>
      </c>
      <c r="E52" s="721">
        <f t="shared" si="6"/>
        <v>1.1124872423749947</v>
      </c>
      <c r="F52" s="721">
        <f t="shared" si="6"/>
        <v>71.194770521360212</v>
      </c>
      <c r="G52" s="721">
        <f t="shared" si="6"/>
        <v>0</v>
      </c>
      <c r="H52" s="721">
        <f t="shared" si="6"/>
        <v>17138.787912252079</v>
      </c>
      <c r="I52" s="721">
        <f t="shared" si="6"/>
        <v>3019.3508291234721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20230.816347277541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235.06662263473879</v>
      </c>
      <c r="D54" s="1008">
        <f ca="1">+landbouw!C12</f>
        <v>0</v>
      </c>
      <c r="E54" s="1008">
        <f>+landbouw!D12</f>
        <v>30.191024804552438</v>
      </c>
      <c r="F54" s="1008">
        <f>+landbouw!E12</f>
        <v>2.417203668698404</v>
      </c>
      <c r="G54" s="1008">
        <f>+landbouw!F12</f>
        <v>984.86816464467165</v>
      </c>
      <c r="H54" s="1008">
        <f>+landbouw!G12</f>
        <v>0</v>
      </c>
      <c r="I54" s="1008">
        <f>+landbouw!H12</f>
        <v>0</v>
      </c>
      <c r="J54" s="1008">
        <f>+landbouw!I12</f>
        <v>0</v>
      </c>
      <c r="K54" s="1008">
        <f>+landbouw!J12</f>
        <v>49.498909785750364</v>
      </c>
      <c r="L54" s="1008">
        <f>+landbouw!K12</f>
        <v>0</v>
      </c>
      <c r="M54" s="1008">
        <f>+landbouw!L12</f>
        <v>0</v>
      </c>
      <c r="N54" s="1008">
        <f>+landbouw!M12</f>
        <v>0</v>
      </c>
      <c r="O54" s="1008">
        <f>+landbouw!N12</f>
        <v>0</v>
      </c>
      <c r="P54" s="1008">
        <f>+landbouw!O12</f>
        <v>0</v>
      </c>
      <c r="Q54" s="1009">
        <f>+landbouw!P12</f>
        <v>0</v>
      </c>
      <c r="R54" s="720">
        <f ca="1">SUM(C54:Q54)</f>
        <v>1302.0419255384115</v>
      </c>
    </row>
    <row r="55" spans="1:18" ht="15" thickBot="1">
      <c r="A55" s="819" t="s">
        <v>912</v>
      </c>
      <c r="B55" s="829"/>
      <c r="C55" s="1008">
        <f ca="1">C25*'EF ele_warmte'!B12</f>
        <v>142.66907209166982</v>
      </c>
      <c r="D55" s="1008"/>
      <c r="E55" s="1008">
        <f>E25*EF_CO2_aardgas</f>
        <v>215.95992638332422</v>
      </c>
      <c r="F55" s="1008"/>
      <c r="G55" s="1008"/>
      <c r="H55" s="1008"/>
      <c r="I55" s="1008"/>
      <c r="J55" s="1008"/>
      <c r="K55" s="1008"/>
      <c r="L55" s="1008"/>
      <c r="M55" s="1008"/>
      <c r="N55" s="1008"/>
      <c r="O55" s="1008"/>
      <c r="P55" s="1008"/>
      <c r="Q55" s="1009"/>
      <c r="R55" s="720">
        <f ca="1">SUM(C55:Q55)</f>
        <v>358.62899847499403</v>
      </c>
    </row>
    <row r="56" spans="1:18" ht="15.75" thickBot="1">
      <c r="A56" s="817" t="s">
        <v>913</v>
      </c>
      <c r="B56" s="830"/>
      <c r="C56" s="721">
        <f ca="1">SUM(C54:C55)</f>
        <v>377.73569472640861</v>
      </c>
      <c r="D56" s="721">
        <f t="shared" ref="D56:Q56" ca="1" si="7">SUM(D54:D55)</f>
        <v>0</v>
      </c>
      <c r="E56" s="721">
        <f t="shared" si="7"/>
        <v>246.15095118787664</v>
      </c>
      <c r="F56" s="721">
        <f t="shared" si="7"/>
        <v>2.417203668698404</v>
      </c>
      <c r="G56" s="721">
        <f t="shared" si="7"/>
        <v>984.86816464467165</v>
      </c>
      <c r="H56" s="721">
        <f t="shared" si="7"/>
        <v>0</v>
      </c>
      <c r="I56" s="721">
        <f t="shared" si="7"/>
        <v>0</v>
      </c>
      <c r="J56" s="721">
        <f t="shared" si="7"/>
        <v>0</v>
      </c>
      <c r="K56" s="721">
        <f t="shared" si="7"/>
        <v>49.498909785750364</v>
      </c>
      <c r="L56" s="721">
        <f t="shared" si="7"/>
        <v>0</v>
      </c>
      <c r="M56" s="721">
        <f t="shared" si="7"/>
        <v>0</v>
      </c>
      <c r="N56" s="721">
        <f t="shared" si="7"/>
        <v>0</v>
      </c>
      <c r="O56" s="721">
        <f t="shared" si="7"/>
        <v>0</v>
      </c>
      <c r="P56" s="721">
        <f t="shared" si="7"/>
        <v>0</v>
      </c>
      <c r="Q56" s="722">
        <f t="shared" si="7"/>
        <v>0</v>
      </c>
      <c r="R56" s="723">
        <f ca="1">SUM(R54:R55)</f>
        <v>1660.6709240134055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10688.467555652474</v>
      </c>
      <c r="D61" s="729">
        <f t="shared" ref="D61:Q61" ca="1" si="8">D46+D52+D56</f>
        <v>0</v>
      </c>
      <c r="E61" s="729">
        <f t="shared" ca="1" si="8"/>
        <v>11033.308440909783</v>
      </c>
      <c r="F61" s="729">
        <f t="shared" si="8"/>
        <v>1115.2567865194617</v>
      </c>
      <c r="G61" s="729">
        <f t="shared" ca="1" si="8"/>
        <v>14369.273858235378</v>
      </c>
      <c r="H61" s="729">
        <f t="shared" si="8"/>
        <v>17138.787912252079</v>
      </c>
      <c r="I61" s="729">
        <f t="shared" si="8"/>
        <v>3019.3508291234721</v>
      </c>
      <c r="J61" s="729">
        <f t="shared" si="8"/>
        <v>0</v>
      </c>
      <c r="K61" s="729">
        <f t="shared" si="8"/>
        <v>2189.5509336952118</v>
      </c>
      <c r="L61" s="729">
        <f t="shared" si="8"/>
        <v>0</v>
      </c>
      <c r="M61" s="729">
        <f t="shared" ca="1" si="8"/>
        <v>0</v>
      </c>
      <c r="N61" s="729">
        <f t="shared" si="8"/>
        <v>0</v>
      </c>
      <c r="O61" s="729">
        <f t="shared" ca="1" si="8"/>
        <v>0</v>
      </c>
      <c r="P61" s="729">
        <f t="shared" si="8"/>
        <v>0</v>
      </c>
      <c r="Q61" s="729">
        <f t="shared" si="8"/>
        <v>0</v>
      </c>
      <c r="R61" s="729">
        <f ca="1">R46+R52+R56</f>
        <v>59553.996316387864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0.20796266396984187</v>
      </c>
      <c r="D63" s="773">
        <f t="shared" ca="1" si="9"/>
        <v>0</v>
      </c>
      <c r="E63" s="1010">
        <f t="shared" ca="1" si="9"/>
        <v>0.20199999999999999</v>
      </c>
      <c r="F63" s="773">
        <f t="shared" si="9"/>
        <v>0.22700000000000001</v>
      </c>
      <c r="G63" s="773">
        <f t="shared" ca="1" si="9"/>
        <v>0.26699999999999996</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3023.2522670676403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8.7299999999999986</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10.270588235294115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3031.9822670676404</v>
      </c>
      <c r="C78" s="744">
        <f>SUM(C72:C77)</f>
        <v>0</v>
      </c>
      <c r="D78" s="745">
        <f t="shared" ref="D78:H78" si="10">SUM(D76:D77)</f>
        <v>0</v>
      </c>
      <c r="E78" s="745">
        <f t="shared" si="10"/>
        <v>0</v>
      </c>
      <c r="F78" s="745">
        <f t="shared" si="10"/>
        <v>0</v>
      </c>
      <c r="G78" s="745">
        <f t="shared" si="10"/>
        <v>0</v>
      </c>
      <c r="H78" s="745">
        <f t="shared" si="10"/>
        <v>0</v>
      </c>
      <c r="I78" s="745">
        <f>SUM(I76:I77)</f>
        <v>0</v>
      </c>
      <c r="J78" s="745">
        <f>SUM(J76:J77)</f>
        <v>10.270588235294115</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12.47142857142857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14.672268907563025</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12.47142857142857</v>
      </c>
      <c r="C90" s="744">
        <f>SUM(C87:C89)</f>
        <v>0</v>
      </c>
      <c r="D90" s="744">
        <f t="shared" ref="D90:H90" si="12">SUM(D87:D89)</f>
        <v>0</v>
      </c>
      <c r="E90" s="744">
        <f t="shared" si="12"/>
        <v>0</v>
      </c>
      <c r="F90" s="744">
        <f t="shared" si="12"/>
        <v>0</v>
      </c>
      <c r="G90" s="744">
        <f t="shared" si="12"/>
        <v>0</v>
      </c>
      <c r="H90" s="744">
        <f t="shared" si="12"/>
        <v>0</v>
      </c>
      <c r="I90" s="744">
        <f>SUM(I87:I89)</f>
        <v>0</v>
      </c>
      <c r="J90" s="744">
        <f>SUM(J87:J89)</f>
        <v>14.672268907563025</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3023.2522670676403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8.7299999999999986</v>
      </c>
      <c r="C8" s="558">
        <f>B101</f>
        <v>0</v>
      </c>
      <c r="D8" s="991"/>
      <c r="E8" s="991">
        <f>E101</f>
        <v>0</v>
      </c>
      <c r="F8" s="992"/>
      <c r="G8" s="559"/>
      <c r="H8" s="991">
        <f>I101</f>
        <v>0</v>
      </c>
      <c r="I8" s="991">
        <f>G101+F101</f>
        <v>0</v>
      </c>
      <c r="J8" s="991">
        <f>H101+D101+C101</f>
        <v>10.270588235294115</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3031.9822670676404</v>
      </c>
      <c r="C10" s="570">
        <f t="shared" ref="C10:L10" si="0">SUM(C8:C9)</f>
        <v>0</v>
      </c>
      <c r="D10" s="570">
        <f t="shared" si="0"/>
        <v>0</v>
      </c>
      <c r="E10" s="570">
        <f t="shared" si="0"/>
        <v>0</v>
      </c>
      <c r="F10" s="570">
        <f t="shared" si="0"/>
        <v>0</v>
      </c>
      <c r="G10" s="570">
        <f t="shared" si="0"/>
        <v>0</v>
      </c>
      <c r="H10" s="570">
        <f t="shared" si="0"/>
        <v>0</v>
      </c>
      <c r="I10" s="570">
        <f t="shared" si="0"/>
        <v>0</v>
      </c>
      <c r="J10" s="570">
        <f t="shared" si="0"/>
        <v>10.270588235294115</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12.47142857142857</v>
      </c>
      <c r="C17" s="582">
        <f>B102</f>
        <v>0</v>
      </c>
      <c r="D17" s="583"/>
      <c r="E17" s="583">
        <f>E102</f>
        <v>0</v>
      </c>
      <c r="F17" s="584"/>
      <c r="G17" s="585"/>
      <c r="H17" s="582">
        <f>I102</f>
        <v>0</v>
      </c>
      <c r="I17" s="583">
        <f>G102+F102</f>
        <v>0</v>
      </c>
      <c r="J17" s="583">
        <f>H102+D102+C102</f>
        <v>14.672268907563025</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12.47142857142857</v>
      </c>
      <c r="C20" s="569">
        <f>SUM(C17:C19)</f>
        <v>0</v>
      </c>
      <c r="D20" s="569">
        <f t="shared" ref="D20:L20" si="1">SUM(D17:D19)</f>
        <v>0</v>
      </c>
      <c r="E20" s="569">
        <f t="shared" si="1"/>
        <v>0</v>
      </c>
      <c r="F20" s="569">
        <f t="shared" si="1"/>
        <v>0</v>
      </c>
      <c r="G20" s="569">
        <f t="shared" si="1"/>
        <v>0</v>
      </c>
      <c r="H20" s="569">
        <f t="shared" si="1"/>
        <v>0</v>
      </c>
      <c r="I20" s="569">
        <f t="shared" si="1"/>
        <v>0</v>
      </c>
      <c r="J20" s="569">
        <f t="shared" si="1"/>
        <v>14.672268907563025</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41027</v>
      </c>
      <c r="C28" s="789">
        <v>9550</v>
      </c>
      <c r="D28" s="642" t="s">
        <v>948</v>
      </c>
      <c r="E28" s="641" t="s">
        <v>949</v>
      </c>
      <c r="F28" s="641" t="s">
        <v>950</v>
      </c>
      <c r="G28" s="641" t="s">
        <v>951</v>
      </c>
      <c r="H28" s="641" t="s">
        <v>952</v>
      </c>
      <c r="I28" s="641" t="s">
        <v>949</v>
      </c>
      <c r="J28" s="788">
        <v>40920</v>
      </c>
      <c r="K28" s="788">
        <v>41030</v>
      </c>
      <c r="L28" s="641" t="s">
        <v>953</v>
      </c>
      <c r="M28" s="641">
        <v>9.6999999999999993</v>
      </c>
      <c r="N28" s="641">
        <v>8.7299999999999986</v>
      </c>
      <c r="O28" s="641">
        <v>12.47142857142857</v>
      </c>
      <c r="P28" s="641">
        <v>0</v>
      </c>
      <c r="Q28" s="641">
        <v>24.94285714285714</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8.7299999999999986</v>
      </c>
      <c r="O58" s="599">
        <f t="shared" ref="O58:W58" si="2">SUM(O28:O57)</f>
        <v>12.47142857142857</v>
      </c>
      <c r="P58" s="599">
        <f t="shared" si="2"/>
        <v>0</v>
      </c>
      <c r="Q58" s="599">
        <f t="shared" si="2"/>
        <v>24.94285714285714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8.7299999999999986</v>
      </c>
      <c r="O61" s="604">
        <f t="shared" si="4"/>
        <v>12.47142857142857</v>
      </c>
      <c r="P61" s="604">
        <f t="shared" si="4"/>
        <v>0</v>
      </c>
      <c r="Q61" s="604">
        <f t="shared" si="4"/>
        <v>24.94285714285714</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10.270588235294115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14.672268907563025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34884.175987196395</v>
      </c>
      <c r="C4" s="461">
        <f>huishoudens!C8</f>
        <v>0</v>
      </c>
      <c r="D4" s="461">
        <f>huishoudens!D8</f>
        <v>43456.31550356737</v>
      </c>
      <c r="E4" s="461">
        <f>huishoudens!E8</f>
        <v>4467.5849567081596</v>
      </c>
      <c r="F4" s="461">
        <f>huishoudens!F8</f>
        <v>46896.043106890815</v>
      </c>
      <c r="G4" s="461">
        <f>huishoudens!G8</f>
        <v>0</v>
      </c>
      <c r="H4" s="461">
        <f>huishoudens!H8</f>
        <v>0</v>
      </c>
      <c r="I4" s="461">
        <f>huishoudens!I8</f>
        <v>0</v>
      </c>
      <c r="J4" s="461">
        <f>huishoudens!J8</f>
        <v>6036.8577005548786</v>
      </c>
      <c r="K4" s="461">
        <f>huishoudens!K8</f>
        <v>0</v>
      </c>
      <c r="L4" s="461">
        <f>huishoudens!L8</f>
        <v>0</v>
      </c>
      <c r="M4" s="461">
        <f>huishoudens!M8</f>
        <v>0</v>
      </c>
      <c r="N4" s="461">
        <f>huishoudens!N8</f>
        <v>20254.68032877722</v>
      </c>
      <c r="O4" s="461">
        <f>huishoudens!O8</f>
        <v>120.37666666666668</v>
      </c>
      <c r="P4" s="462">
        <f>huishoudens!P8</f>
        <v>286</v>
      </c>
      <c r="Q4" s="463">
        <f>SUM(B4:P4)</f>
        <v>156402.03425036152</v>
      </c>
    </row>
    <row r="5" spans="1:17">
      <c r="A5" s="460" t="s">
        <v>156</v>
      </c>
      <c r="B5" s="461">
        <f ca="1">tertiair!B16</f>
        <v>10401.84394091138</v>
      </c>
      <c r="C5" s="461">
        <f ca="1">tertiair!C16</f>
        <v>0</v>
      </c>
      <c r="D5" s="461">
        <f ca="1">tertiair!D16</f>
        <v>8576.4159606642897</v>
      </c>
      <c r="E5" s="461">
        <f>tertiair!E16</f>
        <v>96.769060619618983</v>
      </c>
      <c r="F5" s="461">
        <f ca="1">tertiair!F16</f>
        <v>2193.0807672844894</v>
      </c>
      <c r="G5" s="461">
        <f>tertiair!G16</f>
        <v>0</v>
      </c>
      <c r="H5" s="461">
        <f>tertiair!H16</f>
        <v>0</v>
      </c>
      <c r="I5" s="461">
        <f>tertiair!I16</f>
        <v>0</v>
      </c>
      <c r="J5" s="461">
        <f>tertiair!J16</f>
        <v>0</v>
      </c>
      <c r="K5" s="461">
        <f>tertiair!K16</f>
        <v>0</v>
      </c>
      <c r="L5" s="461">
        <f ca="1">tertiair!L16</f>
        <v>0</v>
      </c>
      <c r="M5" s="461">
        <f>tertiair!M16</f>
        <v>0</v>
      </c>
      <c r="N5" s="461">
        <f ca="1">tertiair!N16</f>
        <v>812.75930330319966</v>
      </c>
      <c r="O5" s="461">
        <f>tertiair!O16</f>
        <v>0</v>
      </c>
      <c r="P5" s="462">
        <f>tertiair!P16</f>
        <v>0</v>
      </c>
      <c r="Q5" s="460">
        <f t="shared" ref="Q5:Q14" ca="1" si="0">SUM(B5:P5)</f>
        <v>22080.869032782979</v>
      </c>
    </row>
    <row r="6" spans="1:17">
      <c r="A6" s="460" t="s">
        <v>194</v>
      </c>
      <c r="B6" s="461">
        <f>'openbare verlichting'!B8</f>
        <v>1431.2550000000001</v>
      </c>
      <c r="C6" s="461"/>
      <c r="D6" s="461"/>
      <c r="E6" s="461"/>
      <c r="F6" s="461"/>
      <c r="G6" s="461"/>
      <c r="H6" s="461"/>
      <c r="I6" s="461"/>
      <c r="J6" s="461"/>
      <c r="K6" s="461"/>
      <c r="L6" s="461"/>
      <c r="M6" s="461"/>
      <c r="N6" s="461"/>
      <c r="O6" s="461"/>
      <c r="P6" s="462"/>
      <c r="Q6" s="460">
        <f t="shared" si="0"/>
        <v>1431.2550000000001</v>
      </c>
    </row>
    <row r="7" spans="1:17">
      <c r="A7" s="460" t="s">
        <v>112</v>
      </c>
      <c r="B7" s="461">
        <f>landbouw!B8</f>
        <v>1130.3308879945271</v>
      </c>
      <c r="C7" s="461">
        <f>landbouw!C8</f>
        <v>12.47142857142857</v>
      </c>
      <c r="D7" s="461">
        <f>landbouw!D8</f>
        <v>149.460518834418</v>
      </c>
      <c r="E7" s="461">
        <f>landbouw!E8</f>
        <v>10.648474311446714</v>
      </c>
      <c r="F7" s="461">
        <f>landbouw!F8</f>
        <v>3688.6448114032646</v>
      </c>
      <c r="G7" s="461">
        <f>landbouw!G8</f>
        <v>0</v>
      </c>
      <c r="H7" s="461">
        <f>landbouw!H8</f>
        <v>0</v>
      </c>
      <c r="I7" s="461">
        <f>landbouw!I8</f>
        <v>0</v>
      </c>
      <c r="J7" s="461">
        <f>landbouw!J8</f>
        <v>139.82742877330611</v>
      </c>
      <c r="K7" s="461">
        <f>landbouw!K8</f>
        <v>0</v>
      </c>
      <c r="L7" s="461">
        <f>landbouw!L8</f>
        <v>0</v>
      </c>
      <c r="M7" s="461">
        <f>landbouw!M8</f>
        <v>0</v>
      </c>
      <c r="N7" s="461">
        <f>landbouw!N8</f>
        <v>0</v>
      </c>
      <c r="O7" s="461">
        <f>landbouw!O8</f>
        <v>0</v>
      </c>
      <c r="P7" s="462">
        <f>landbouw!P8</f>
        <v>0</v>
      </c>
      <c r="Q7" s="460">
        <f t="shared" si="0"/>
        <v>5131.3835498883909</v>
      </c>
    </row>
    <row r="8" spans="1:17">
      <c r="A8" s="460" t="s">
        <v>685</v>
      </c>
      <c r="B8" s="461">
        <f>industrie!B18</f>
        <v>2860.6700547617975</v>
      </c>
      <c r="C8" s="461">
        <f>industrie!C18</f>
        <v>0</v>
      </c>
      <c r="D8" s="461">
        <f>industrie!D18</f>
        <v>1363.5309242808726</v>
      </c>
      <c r="E8" s="461">
        <f>industrie!E18</f>
        <v>24.389649321573401</v>
      </c>
      <c r="F8" s="461">
        <f>industrie!F18</f>
        <v>1039.7364014453183</v>
      </c>
      <c r="G8" s="461">
        <f>industrie!G18</f>
        <v>0</v>
      </c>
      <c r="H8" s="461">
        <f>industrie!H18</f>
        <v>0</v>
      </c>
      <c r="I8" s="461">
        <f>industrie!I18</f>
        <v>0</v>
      </c>
      <c r="J8" s="461">
        <f>industrie!J18</f>
        <v>8.4869997543344056</v>
      </c>
      <c r="K8" s="461">
        <f>industrie!K18</f>
        <v>0</v>
      </c>
      <c r="L8" s="461">
        <f>industrie!L18</f>
        <v>0</v>
      </c>
      <c r="M8" s="461">
        <f>industrie!M18</f>
        <v>0</v>
      </c>
      <c r="N8" s="461">
        <f>industrie!N18</f>
        <v>132.71592570054162</v>
      </c>
      <c r="O8" s="461">
        <f>industrie!O18</f>
        <v>0</v>
      </c>
      <c r="P8" s="462">
        <f>industrie!P18</f>
        <v>0</v>
      </c>
      <c r="Q8" s="460">
        <f t="shared" si="0"/>
        <v>5429.5299552644374</v>
      </c>
    </row>
    <row r="9" spans="1:17" s="466" customFormat="1">
      <c r="A9" s="464" t="s">
        <v>579</v>
      </c>
      <c r="B9" s="465">
        <f>transport!B14</f>
        <v>1.7808395564128869</v>
      </c>
      <c r="C9" s="465">
        <f>transport!C14</f>
        <v>0</v>
      </c>
      <c r="D9" s="465">
        <f>transport!D14</f>
        <v>5.5073625860148256</v>
      </c>
      <c r="E9" s="465">
        <f>transport!E14</f>
        <v>313.63335031436213</v>
      </c>
      <c r="F9" s="465">
        <f>transport!F14</f>
        <v>0</v>
      </c>
      <c r="G9" s="465">
        <f>transport!G14</f>
        <v>63266.165197562666</v>
      </c>
      <c r="H9" s="465">
        <f>transport!H14</f>
        <v>12125.906944270972</v>
      </c>
      <c r="I9" s="465">
        <f>transport!I14</f>
        <v>0</v>
      </c>
      <c r="J9" s="465">
        <f>transport!J14</f>
        <v>0</v>
      </c>
      <c r="K9" s="465">
        <f>transport!K14</f>
        <v>0</v>
      </c>
      <c r="L9" s="465">
        <f>transport!L14</f>
        <v>0</v>
      </c>
      <c r="M9" s="465">
        <f>transport!M14</f>
        <v>3371.9363922443918</v>
      </c>
      <c r="N9" s="465">
        <f>transport!N14</f>
        <v>0</v>
      </c>
      <c r="O9" s="465">
        <f>transport!O14</f>
        <v>0</v>
      </c>
      <c r="P9" s="465">
        <f>transport!P14</f>
        <v>0</v>
      </c>
      <c r="Q9" s="464">
        <f>SUM(B9:P9)</f>
        <v>79084.93008653482</v>
      </c>
    </row>
    <row r="10" spans="1:17">
      <c r="A10" s="460" t="s">
        <v>569</v>
      </c>
      <c r="B10" s="461">
        <f>transport!B54</f>
        <v>0</v>
      </c>
      <c r="C10" s="461">
        <f>transport!C54</f>
        <v>0</v>
      </c>
      <c r="D10" s="461">
        <f>transport!D54</f>
        <v>0</v>
      </c>
      <c r="E10" s="461">
        <f>transport!E54</f>
        <v>0</v>
      </c>
      <c r="F10" s="461">
        <f>transport!F54</f>
        <v>0</v>
      </c>
      <c r="G10" s="461">
        <f>transport!G54</f>
        <v>924.0517022578548</v>
      </c>
      <c r="H10" s="461">
        <f>transport!H54</f>
        <v>0</v>
      </c>
      <c r="I10" s="461">
        <f>transport!I54</f>
        <v>0</v>
      </c>
      <c r="J10" s="461">
        <f>transport!J54</f>
        <v>0</v>
      </c>
      <c r="K10" s="461">
        <f>transport!K54</f>
        <v>0</v>
      </c>
      <c r="L10" s="461">
        <f>transport!L54</f>
        <v>0</v>
      </c>
      <c r="M10" s="461">
        <f>transport!M54</f>
        <v>40.576634564773073</v>
      </c>
      <c r="N10" s="461">
        <f>transport!N54</f>
        <v>0</v>
      </c>
      <c r="O10" s="461">
        <f>transport!O54</f>
        <v>0</v>
      </c>
      <c r="P10" s="462">
        <f>transport!P54</f>
        <v>0</v>
      </c>
      <c r="Q10" s="460">
        <f t="shared" si="0"/>
        <v>964.62833682262783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686.03214330991295</v>
      </c>
      <c r="C14" s="468"/>
      <c r="D14" s="468">
        <f>'SEAP template'!E25</f>
        <v>1069.1085464521</v>
      </c>
      <c r="E14" s="468"/>
      <c r="F14" s="468"/>
      <c r="G14" s="468"/>
      <c r="H14" s="468"/>
      <c r="I14" s="468"/>
      <c r="J14" s="468"/>
      <c r="K14" s="468"/>
      <c r="L14" s="468"/>
      <c r="M14" s="468"/>
      <c r="N14" s="468"/>
      <c r="O14" s="468"/>
      <c r="P14" s="469"/>
      <c r="Q14" s="460">
        <f t="shared" si="0"/>
        <v>1755.1406897620129</v>
      </c>
    </row>
    <row r="15" spans="1:17" s="473" customFormat="1">
      <c r="A15" s="470" t="s">
        <v>573</v>
      </c>
      <c r="B15" s="471">
        <f ca="1">SUM(B4:B14)</f>
        <v>51396.08885373042</v>
      </c>
      <c r="C15" s="471">
        <f t="shared" ref="C15:Q15" ca="1" si="1">SUM(C4:C14)</f>
        <v>12.47142857142857</v>
      </c>
      <c r="D15" s="471">
        <f t="shared" ca="1" si="1"/>
        <v>54620.338816385076</v>
      </c>
      <c r="E15" s="471">
        <f t="shared" si="1"/>
        <v>4913.0254912751616</v>
      </c>
      <c r="F15" s="471">
        <f t="shared" ca="1" si="1"/>
        <v>53817.505087023892</v>
      </c>
      <c r="G15" s="471">
        <f t="shared" si="1"/>
        <v>64190.216899820523</v>
      </c>
      <c r="H15" s="471">
        <f t="shared" si="1"/>
        <v>12125.906944270972</v>
      </c>
      <c r="I15" s="471">
        <f t="shared" si="1"/>
        <v>0</v>
      </c>
      <c r="J15" s="471">
        <f t="shared" si="1"/>
        <v>6185.1721290825199</v>
      </c>
      <c r="K15" s="471">
        <f t="shared" si="1"/>
        <v>0</v>
      </c>
      <c r="L15" s="471">
        <f t="shared" ca="1" si="1"/>
        <v>0</v>
      </c>
      <c r="M15" s="471">
        <f t="shared" si="1"/>
        <v>3412.5130268091648</v>
      </c>
      <c r="N15" s="471">
        <f t="shared" ca="1" si="1"/>
        <v>21200.155557780959</v>
      </c>
      <c r="O15" s="471">
        <f t="shared" si="1"/>
        <v>120.37666666666668</v>
      </c>
      <c r="P15" s="471">
        <f t="shared" si="1"/>
        <v>286</v>
      </c>
      <c r="Q15" s="471">
        <f t="shared" ca="1" si="1"/>
        <v>272279.77090141678</v>
      </c>
    </row>
    <row r="17" spans="1:17">
      <c r="A17" s="474" t="s">
        <v>574</v>
      </c>
      <c r="B17" s="778">
        <f ca="1">huishoudens!B10</f>
        <v>0.20796266396984187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7254.6061686901503</v>
      </c>
      <c r="C22" s="461">
        <f t="shared" ref="C22:C32" ca="1" si="3">C4*$C$17</f>
        <v>0</v>
      </c>
      <c r="D22" s="461">
        <f t="shared" ref="D22:D32" si="4">D4*$D$17</f>
        <v>8778.1757317206084</v>
      </c>
      <c r="E22" s="461">
        <f t="shared" ref="E22:E32" si="5">E4*$E$17</f>
        <v>1014.1417851727523</v>
      </c>
      <c r="F22" s="461">
        <f t="shared" ref="F22:F32" si="6">F4*$F$17</f>
        <v>12521.243509539849</v>
      </c>
      <c r="G22" s="461">
        <f t="shared" ref="G22:G32" si="7">G4*$G$17</f>
        <v>0</v>
      </c>
      <c r="H22" s="461">
        <f t="shared" ref="H22:H32" si="8">H4*$H$17</f>
        <v>0</v>
      </c>
      <c r="I22" s="461">
        <f t="shared" ref="I22:I32" si="9">I4*$I$17</f>
        <v>0</v>
      </c>
      <c r="J22" s="461">
        <f t="shared" ref="J22:J32" si="10">J4*$J$17</f>
        <v>2137.0476259964271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31705.214821119785</v>
      </c>
    </row>
    <row r="23" spans="1:17">
      <c r="A23" s="460" t="s">
        <v>156</v>
      </c>
      <c r="B23" s="461">
        <f t="shared" ca="1" si="2"/>
        <v>2163.1951761504888</v>
      </c>
      <c r="C23" s="461">
        <f t="shared" ca="1" si="3"/>
        <v>0</v>
      </c>
      <c r="D23" s="461">
        <f t="shared" ca="1" si="4"/>
        <v>1732.4360240541866</v>
      </c>
      <c r="E23" s="461">
        <f t="shared" si="5"/>
        <v>21.96657676065351</v>
      </c>
      <c r="F23" s="461">
        <f t="shared" ca="1" si="6"/>
        <v>585.55256486495875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4503.1503418302873</v>
      </c>
    </row>
    <row r="24" spans="1:17">
      <c r="A24" s="460" t="s">
        <v>194</v>
      </c>
      <c r="B24" s="461">
        <f t="shared" ca="1" si="2"/>
        <v>297.64760262015602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297.64760262015602</v>
      </c>
    </row>
    <row r="25" spans="1:17">
      <c r="A25" s="460" t="s">
        <v>112</v>
      </c>
      <c r="B25" s="461">
        <f t="shared" ca="1" si="2"/>
        <v>235.06662263473879</v>
      </c>
      <c r="C25" s="461">
        <f t="shared" ca="1" si="3"/>
        <v>0</v>
      </c>
      <c r="D25" s="461">
        <f t="shared" si="4"/>
        <v>30.191024804552438</v>
      </c>
      <c r="E25" s="461">
        <f t="shared" si="5"/>
        <v>2.417203668698404</v>
      </c>
      <c r="F25" s="461">
        <f t="shared" si="6"/>
        <v>984.86816464467165</v>
      </c>
      <c r="G25" s="461">
        <f t="shared" si="7"/>
        <v>0</v>
      </c>
      <c r="H25" s="461">
        <f t="shared" si="8"/>
        <v>0</v>
      </c>
      <c r="I25" s="461">
        <f t="shared" si="9"/>
        <v>0</v>
      </c>
      <c r="J25" s="461">
        <f t="shared" si="10"/>
        <v>49.498909785750364</v>
      </c>
      <c r="K25" s="461">
        <f t="shared" si="11"/>
        <v>0</v>
      </c>
      <c r="L25" s="461">
        <f t="shared" si="12"/>
        <v>0</v>
      </c>
      <c r="M25" s="461">
        <f t="shared" si="13"/>
        <v>0</v>
      </c>
      <c r="N25" s="461">
        <f t="shared" si="14"/>
        <v>0</v>
      </c>
      <c r="O25" s="461">
        <f t="shared" si="15"/>
        <v>0</v>
      </c>
      <c r="P25" s="462">
        <f t="shared" si="16"/>
        <v>0</v>
      </c>
      <c r="Q25" s="460">
        <f t="shared" ca="1" si="17"/>
        <v>1302.0419255384115</v>
      </c>
    </row>
    <row r="26" spans="1:17">
      <c r="A26" s="460" t="s">
        <v>685</v>
      </c>
      <c r="B26" s="461">
        <f t="shared" ca="1" si="2"/>
        <v>594.91256532701686</v>
      </c>
      <c r="C26" s="461">
        <f t="shared" ca="1" si="3"/>
        <v>0</v>
      </c>
      <c r="D26" s="461">
        <f t="shared" si="4"/>
        <v>275.43324670473629</v>
      </c>
      <c r="E26" s="461">
        <f t="shared" si="5"/>
        <v>5.5364503959971625</v>
      </c>
      <c r="F26" s="461">
        <f t="shared" si="6"/>
        <v>277.60961918589999</v>
      </c>
      <c r="G26" s="461">
        <f t="shared" si="7"/>
        <v>0</v>
      </c>
      <c r="H26" s="461">
        <f t="shared" si="8"/>
        <v>0</v>
      </c>
      <c r="I26" s="461">
        <f t="shared" si="9"/>
        <v>0</v>
      </c>
      <c r="J26" s="461">
        <f t="shared" si="10"/>
        <v>3.0043979130343792</v>
      </c>
      <c r="K26" s="461">
        <f t="shared" si="11"/>
        <v>0</v>
      </c>
      <c r="L26" s="461">
        <f t="shared" si="12"/>
        <v>0</v>
      </c>
      <c r="M26" s="461">
        <f t="shared" si="13"/>
        <v>0</v>
      </c>
      <c r="N26" s="461">
        <f t="shared" si="14"/>
        <v>0</v>
      </c>
      <c r="O26" s="461">
        <f t="shared" si="15"/>
        <v>0</v>
      </c>
      <c r="P26" s="462">
        <f t="shared" si="16"/>
        <v>0</v>
      </c>
      <c r="Q26" s="460">
        <f t="shared" ca="1" si="17"/>
        <v>1156.4962795266847</v>
      </c>
    </row>
    <row r="27" spans="1:17" s="466" customFormat="1">
      <c r="A27" s="464" t="s">
        <v>579</v>
      </c>
      <c r="B27" s="772">
        <f t="shared" ca="1" si="2"/>
        <v>0.37034813825449547</v>
      </c>
      <c r="C27" s="465">
        <f t="shared" ca="1" si="3"/>
        <v>0</v>
      </c>
      <c r="D27" s="465">
        <f t="shared" si="4"/>
        <v>1.1124872423749947</v>
      </c>
      <c r="E27" s="465">
        <f t="shared" si="5"/>
        <v>71.194770521360212</v>
      </c>
      <c r="F27" s="465">
        <f t="shared" si="6"/>
        <v>0</v>
      </c>
      <c r="G27" s="465">
        <f t="shared" si="7"/>
        <v>16892.066107749233</v>
      </c>
      <c r="H27" s="465">
        <f t="shared" si="8"/>
        <v>3019.3508291234721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19984.094542774696</v>
      </c>
    </row>
    <row r="28" spans="1:17">
      <c r="A28" s="460" t="s">
        <v>569</v>
      </c>
      <c r="B28" s="461">
        <f t="shared" ca="1" si="2"/>
        <v>0</v>
      </c>
      <c r="C28" s="461">
        <f t="shared" ca="1" si="3"/>
        <v>0</v>
      </c>
      <c r="D28" s="461">
        <f t="shared" si="4"/>
        <v>0</v>
      </c>
      <c r="E28" s="461">
        <f t="shared" si="5"/>
        <v>0</v>
      </c>
      <c r="F28" s="461">
        <f t="shared" si="6"/>
        <v>0</v>
      </c>
      <c r="G28" s="461">
        <f t="shared" si="7"/>
        <v>246.72180450284725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246.72180450284725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142.66907209166982</v>
      </c>
      <c r="C32" s="461">
        <f t="shared" ca="1" si="3"/>
        <v>0</v>
      </c>
      <c r="D32" s="461">
        <f t="shared" si="4"/>
        <v>215.95992638332422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358.62899847499403</v>
      </c>
    </row>
    <row r="33" spans="1:17" s="473" customFormat="1">
      <c r="A33" s="470" t="s">
        <v>573</v>
      </c>
      <c r="B33" s="471">
        <f ca="1">SUM(B22:B32)</f>
        <v>10688.467555652474</v>
      </c>
      <c r="C33" s="471">
        <f t="shared" ref="C33:Q33" ca="1" si="18">SUM(C22:C32)</f>
        <v>0</v>
      </c>
      <c r="D33" s="471">
        <f t="shared" ca="1" si="18"/>
        <v>11033.308440909785</v>
      </c>
      <c r="E33" s="471">
        <f t="shared" si="18"/>
        <v>1115.2567865194617</v>
      </c>
      <c r="F33" s="471">
        <f t="shared" ca="1" si="18"/>
        <v>14369.273858235378</v>
      </c>
      <c r="G33" s="471">
        <f t="shared" si="18"/>
        <v>17138.787912252079</v>
      </c>
      <c r="H33" s="471">
        <f t="shared" si="18"/>
        <v>3019.3508291234721</v>
      </c>
      <c r="I33" s="471">
        <f t="shared" si="18"/>
        <v>0</v>
      </c>
      <c r="J33" s="471">
        <f t="shared" si="18"/>
        <v>2189.5509336952118</v>
      </c>
      <c r="K33" s="471">
        <f t="shared" si="18"/>
        <v>0</v>
      </c>
      <c r="L33" s="471">
        <f t="shared" ca="1" si="18"/>
        <v>0</v>
      </c>
      <c r="M33" s="471">
        <f t="shared" si="18"/>
        <v>0</v>
      </c>
      <c r="N33" s="471">
        <f t="shared" ca="1" si="18"/>
        <v>0</v>
      </c>
      <c r="O33" s="471">
        <f t="shared" si="18"/>
        <v>0</v>
      </c>
      <c r="P33" s="471">
        <f t="shared" si="18"/>
        <v>0</v>
      </c>
      <c r="Q33" s="471">
        <f t="shared" ca="1" si="18"/>
        <v>59553.996316387871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3023.2522670676403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8.7299999999999986</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10.270588235294115</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3031.9822670676404</v>
      </c>
      <c r="C10" s="1041">
        <f>SUM(C4:C9)</f>
        <v>0</v>
      </c>
      <c r="D10" s="1041">
        <f t="shared" ref="D10:H10" si="0">SUM(D8:D9)</f>
        <v>0</v>
      </c>
      <c r="E10" s="1041">
        <f t="shared" si="0"/>
        <v>0</v>
      </c>
      <c r="F10" s="1041">
        <f t="shared" si="0"/>
        <v>0</v>
      </c>
      <c r="G10" s="1041">
        <f t="shared" si="0"/>
        <v>0</v>
      </c>
      <c r="H10" s="1041">
        <f t="shared" si="0"/>
        <v>0</v>
      </c>
      <c r="I10" s="1041">
        <f>SUM(I8:I9)</f>
        <v>0</v>
      </c>
      <c r="J10" s="1041">
        <f>SUM(J8:J9)</f>
        <v>10.270588235294115</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0.20796266396984187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12.47142857142857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14.672268907563025</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12.47142857142857</v>
      </c>
      <c r="C20" s="1041">
        <f>SUM(C17:C19)</f>
        <v>0</v>
      </c>
      <c r="D20" s="1041">
        <f t="shared" ref="D20:H20" si="2">SUM(D17:D19)</f>
        <v>0</v>
      </c>
      <c r="E20" s="1041">
        <f t="shared" si="2"/>
        <v>0</v>
      </c>
      <c r="F20" s="1041">
        <f t="shared" si="2"/>
        <v>0</v>
      </c>
      <c r="G20" s="1041">
        <f t="shared" si="2"/>
        <v>0</v>
      </c>
      <c r="H20" s="1041">
        <f t="shared" si="2"/>
        <v>0</v>
      </c>
      <c r="I20" s="1041">
        <f>SUM(I17:I19)</f>
        <v>0</v>
      </c>
      <c r="J20" s="1041">
        <f>SUM(J17:J19)</f>
        <v>14.672268907563025</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0.20796266396984187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2019-08-12T07:55:12Z</dcterms:modified>
</cp:coreProperties>
</file>